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735" yWindow="540" windowWidth="16080" windowHeight="7605" activeTab="6"/>
  </bookViews>
  <sheets>
    <sheet name="Instructions" sheetId="15" r:id="rId1"/>
    <sheet name="DNA Library Prep" sheetId="12" r:id="rId2"/>
    <sheet name="RNA Library Prep" sheetId="13" r:id="rId3"/>
    <sheet name="Capture" sheetId="14" r:id="rId4"/>
    <sheet name="Variables-Do not edit" sheetId="8" state="hidden" r:id="rId5"/>
    <sheet name="Revision History" sheetId="16" r:id="rId6"/>
    <sheet name="Trademark" sheetId="17" r:id="rId7"/>
  </sheets>
  <definedNames>
    <definedName name="_xlnm.Print_Area" localSheetId="3">Capture!$A$1:$I$79</definedName>
    <definedName name="_xlnm.Print_Area" localSheetId="1">'DNA Library Prep'!$A$1:$I$77</definedName>
    <definedName name="_xlnm.Print_Area" localSheetId="2">'RNA Library Prep'!$A$1:$M$37</definedName>
    <definedName name="Selections">'Variables-Do not edit'!$A$1:$A$4</definedName>
    <definedName name="YesNo">'Variables-Do not edit'!$A$7:$A$8</definedName>
  </definedNames>
  <calcPr calcId="145621"/>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2" l="1"/>
  <c r="D21" i="13" l="1"/>
  <c r="B21" i="13"/>
  <c r="J21" i="13"/>
  <c r="H21" i="13"/>
  <c r="F67" i="12" l="1"/>
  <c r="F74" i="12" l="1"/>
  <c r="D74" i="12"/>
  <c r="B74" i="12"/>
  <c r="F75" i="12"/>
  <c r="D67" i="12"/>
  <c r="D75" i="12" s="1"/>
  <c r="B67" i="12"/>
  <c r="B75" i="12" s="1"/>
  <c r="F64" i="12"/>
  <c r="F66" i="12" s="1"/>
  <c r="D64" i="12"/>
  <c r="D66" i="12" s="1"/>
  <c r="B64" i="12"/>
  <c r="B66" i="12" s="1"/>
  <c r="D76" i="14"/>
  <c r="B76" i="14"/>
  <c r="D69" i="14"/>
  <c r="D77" i="14" s="1"/>
  <c r="B69" i="14"/>
  <c r="B77" i="14" s="1"/>
  <c r="D66" i="14"/>
  <c r="D68" i="14" s="1"/>
  <c r="D70" i="14" s="1"/>
  <c r="D72" i="14" s="1"/>
  <c r="D73" i="14" s="1"/>
  <c r="D74" i="14" s="1"/>
  <c r="B66" i="14"/>
  <c r="B68" i="14" s="1"/>
  <c r="B70" i="14" s="1"/>
  <c r="B78" i="14" l="1"/>
  <c r="D78" i="14"/>
  <c r="D79" i="14" s="1"/>
  <c r="D76" i="12"/>
  <c r="D77" i="12" s="1"/>
  <c r="D68" i="12"/>
  <c r="D70" i="12" s="1"/>
  <c r="D71" i="12" s="1"/>
  <c r="D72" i="12" s="1"/>
  <c r="F68" i="12"/>
  <c r="F70" i="12" s="1"/>
  <c r="F71" i="12" s="1"/>
  <c r="F72" i="12" s="1"/>
  <c r="B72" i="14"/>
  <c r="B73" i="14" s="1"/>
  <c r="B74" i="14" s="1"/>
  <c r="B79" i="14"/>
  <c r="B68" i="12"/>
  <c r="B70" i="12" s="1"/>
  <c r="B71" i="12" s="1"/>
  <c r="B72" i="12" s="1"/>
  <c r="B76" i="12"/>
  <c r="B77" i="12" s="1"/>
  <c r="F76" i="12"/>
  <c r="F77" i="12" s="1"/>
  <c r="B33" i="13" l="1"/>
  <c r="B35" i="13" s="1"/>
  <c r="B36" i="13" s="1"/>
  <c r="B37" i="13" s="1"/>
  <c r="J33" i="13"/>
  <c r="J35" i="13" s="1"/>
  <c r="J36" i="13" s="1"/>
  <c r="J37" i="13" s="1"/>
  <c r="L33" i="13"/>
  <c r="L35" i="13" s="1"/>
  <c r="L36" i="13" s="1"/>
  <c r="L37" i="13" s="1"/>
  <c r="H33" i="13"/>
  <c r="H35" i="13" s="1"/>
  <c r="H36" i="13" s="1"/>
  <c r="H37" i="13" s="1"/>
  <c r="F33" i="13"/>
  <c r="F35" i="13" s="1"/>
  <c r="F36" i="13" s="1"/>
  <c r="F37" i="13" s="1"/>
  <c r="D33" i="13"/>
  <c r="D35" i="13" s="1"/>
  <c r="D36" i="13" s="1"/>
  <c r="D37" i="13" s="1"/>
  <c r="J24" i="13"/>
  <c r="J25" i="13" s="1"/>
  <c r="F44" i="12"/>
  <c r="F46" i="12" s="1"/>
  <c r="F48" i="12" s="1"/>
  <c r="F49" i="12" s="1"/>
  <c r="F50" i="12" s="1"/>
  <c r="B18" i="12"/>
  <c r="C18" i="12" s="1"/>
  <c r="D50" i="14"/>
  <c r="B50" i="14"/>
  <c r="D47" i="14"/>
  <c r="D49" i="14" s="1"/>
  <c r="B47" i="14"/>
  <c r="B49" i="14" s="1"/>
  <c r="I24" i="14"/>
  <c r="G24" i="14"/>
  <c r="D24" i="14"/>
  <c r="E24" i="14" s="1"/>
  <c r="B24" i="14"/>
  <c r="C24" i="14" s="1"/>
  <c r="I23" i="14"/>
  <c r="G23" i="14"/>
  <c r="E23" i="14"/>
  <c r="C23" i="14"/>
  <c r="I22" i="14"/>
  <c r="G22" i="14"/>
  <c r="D22" i="14"/>
  <c r="E22" i="14" s="1"/>
  <c r="B22" i="14"/>
  <c r="C22" i="14" s="1"/>
  <c r="I21" i="14"/>
  <c r="G21" i="14"/>
  <c r="D21" i="14"/>
  <c r="E21" i="14" s="1"/>
  <c r="B21" i="14"/>
  <c r="C21" i="14" s="1"/>
  <c r="H20" i="14"/>
  <c r="I20" i="14" s="1"/>
  <c r="F20" i="14"/>
  <c r="G20" i="14" s="1"/>
  <c r="D20" i="14"/>
  <c r="E20" i="14" s="1"/>
  <c r="B20" i="14"/>
  <c r="C20" i="14" s="1"/>
  <c r="B24" i="13"/>
  <c r="B25" i="13" s="1"/>
  <c r="L21" i="13"/>
  <c r="L24" i="13" s="1"/>
  <c r="L25" i="13" s="1"/>
  <c r="H24" i="13"/>
  <c r="H25" i="13" s="1"/>
  <c r="F21" i="13"/>
  <c r="F24" i="13" s="1"/>
  <c r="F25" i="13" s="1"/>
  <c r="D24" i="13"/>
  <c r="D25" i="13" s="1"/>
  <c r="M11" i="13"/>
  <c r="K11" i="13"/>
  <c r="I11" i="13"/>
  <c r="G11" i="13"/>
  <c r="E11" i="13"/>
  <c r="C11" i="13"/>
  <c r="M10" i="13"/>
  <c r="K10" i="13"/>
  <c r="I10" i="13"/>
  <c r="G10" i="13"/>
  <c r="E10" i="13"/>
  <c r="F47" i="12"/>
  <c r="F56" i="12" s="1"/>
  <c r="F57" i="12" s="1"/>
  <c r="D56" i="12"/>
  <c r="B47" i="12"/>
  <c r="B56" i="12" s="1"/>
  <c r="D44" i="12"/>
  <c r="D46" i="12" s="1"/>
  <c r="D48" i="12" s="1"/>
  <c r="B44" i="12"/>
  <c r="B46" i="12" s="1"/>
  <c r="F20" i="12"/>
  <c r="G20" i="12" s="1"/>
  <c r="D20" i="12"/>
  <c r="E20" i="12" s="1"/>
  <c r="B20" i="12"/>
  <c r="C20" i="12" s="1"/>
  <c r="F19" i="12"/>
  <c r="G19" i="12" s="1"/>
  <c r="D19" i="12"/>
  <c r="E19" i="12" s="1"/>
  <c r="B19" i="12"/>
  <c r="C19" i="12" s="1"/>
  <c r="F18" i="12"/>
  <c r="G18" i="12" s="1"/>
  <c r="D18" i="12"/>
  <c r="E18" i="12" s="1"/>
  <c r="D59" i="14" l="1"/>
  <c r="D52" i="14"/>
  <c r="D54" i="14" s="1"/>
  <c r="B59" i="14"/>
  <c r="B60" i="14" s="1"/>
  <c r="B61" i="14" s="1"/>
  <c r="B52" i="14"/>
  <c r="B54" i="14" s="1"/>
  <c r="F58" i="12"/>
  <c r="B51" i="14"/>
  <c r="D51" i="14"/>
  <c r="B25" i="14"/>
  <c r="F25" i="14"/>
  <c r="D25" i="14"/>
  <c r="D60" i="14"/>
  <c r="D61" i="14" s="1"/>
  <c r="H25" i="14"/>
  <c r="F12" i="13"/>
  <c r="H12" i="13"/>
  <c r="B12" i="13"/>
  <c r="J12" i="13"/>
  <c r="D12" i="13"/>
  <c r="L12" i="13"/>
  <c r="B48" i="12"/>
  <c r="B49" i="12" s="1"/>
  <c r="B50" i="12" s="1"/>
  <c r="D49" i="12"/>
  <c r="D50" i="12" s="1"/>
  <c r="D51" i="12" s="1"/>
  <c r="D52" i="12" s="1"/>
  <c r="F21" i="12"/>
  <c r="D21" i="12"/>
  <c r="B21" i="12"/>
  <c r="F27" i="13"/>
  <c r="F26" i="13"/>
  <c r="B57" i="12"/>
  <c r="B58" i="12" s="1"/>
  <c r="H26" i="13"/>
  <c r="H27" i="13"/>
  <c r="J26" i="13"/>
  <c r="J27" i="13"/>
  <c r="D57" i="12"/>
  <c r="D58" i="12" s="1"/>
  <c r="L27" i="13"/>
  <c r="L26" i="13"/>
  <c r="B26" i="13"/>
  <c r="B27" i="13"/>
  <c r="D27" i="13"/>
  <c r="D26" i="13"/>
  <c r="B53" i="14" l="1"/>
  <c r="B56" i="14"/>
  <c r="B55" i="14"/>
  <c r="D53" i="14"/>
  <c r="D56" i="14"/>
  <c r="D55" i="14"/>
  <c r="B51" i="12"/>
  <c r="B52" i="12" s="1"/>
  <c r="F51" i="12"/>
  <c r="D53" i="12"/>
  <c r="B53" i="12" l="1"/>
  <c r="F52" i="12"/>
  <c r="F53" i="12"/>
</calcChain>
</file>

<file path=xl/comments1.xml><?xml version="1.0" encoding="utf-8"?>
<comments xmlns="http://schemas.openxmlformats.org/spreadsheetml/2006/main">
  <authors>
    <author>Sogoloff, Brian {DNAA~Wilmington}</author>
  </authors>
  <commentList>
    <comment ref="D9" authorId="0">
      <text>
        <r>
          <rPr>
            <b/>
            <sz val="9"/>
            <color indexed="81"/>
            <rFont val="Tahoma"/>
            <family val="2"/>
          </rPr>
          <t>This value is necessary to determine the number of beads require if performing a post shearing cleanup.  Typical covaris values are 50 or 130 µL</t>
        </r>
      </text>
    </comment>
    <comment ref="F9" authorId="0">
      <text>
        <r>
          <rPr>
            <b/>
            <sz val="9"/>
            <color indexed="81"/>
            <rFont val="Tahoma"/>
            <family val="2"/>
          </rPr>
          <t>This value is necessary to determine the number of beads require if performing a post shearing cleanup.  Typical covaris values are 50 or 130 µL</t>
        </r>
      </text>
    </comment>
    <comment ref="D10" authorId="0">
      <text>
        <r>
          <rPr>
            <b/>
            <sz val="9"/>
            <color indexed="81"/>
            <rFont val="Tahoma"/>
            <family val="2"/>
          </rPr>
          <t xml:space="preserve">A post shearing cleanup may be required if the shearing was performed in a buffer containing EDTA, which will inhibit the downstream reactions, or if the volume is too large and needs to be concentrated.  
</t>
        </r>
      </text>
    </comment>
    <comment ref="F10" authorId="0">
      <text>
        <r>
          <rPr>
            <b/>
            <sz val="9"/>
            <color indexed="81"/>
            <rFont val="Tahoma"/>
            <family val="2"/>
          </rPr>
          <t xml:space="preserve">A post shearing cleanup may be required if the shearing was performed in a buffer containing EDTA, which will inhibit the downstream reactions, or if the volume is too large and needs to be concentrated.  
</t>
        </r>
      </text>
    </comment>
    <comment ref="D11" authorId="0">
      <text>
        <r>
          <rPr>
            <b/>
            <sz val="9"/>
            <color indexed="81"/>
            <rFont val="Tahoma"/>
            <family val="2"/>
          </rPr>
          <t>A 3X volumetric ratio safely retains all material and is our recommendation for shearing or genomic cleanup</t>
        </r>
      </text>
    </comment>
    <comment ref="F11" authorId="0">
      <text>
        <r>
          <rPr>
            <b/>
            <sz val="9"/>
            <color indexed="81"/>
            <rFont val="Tahoma"/>
            <family val="2"/>
          </rPr>
          <t>A 3X volumetric ratio safely retains all material and is our recommendation for shearing or genomic cleanup</t>
        </r>
      </text>
    </comment>
    <comment ref="B12" authorId="0">
      <text>
        <r>
          <rPr>
            <b/>
            <sz val="9"/>
            <color indexed="81"/>
            <rFont val="Tahoma"/>
            <family val="2"/>
          </rPr>
          <t xml:space="preserve">Size Selection can be performed after shearing, ligation, or amplification.  In general we recommend a post-ligation size selection.  
Size Selection is not necessarily required.   A size selected product will have a tighter size range at the cost of total yield.  </t>
        </r>
      </text>
    </comment>
    <comment ref="D12" authorId="0">
      <text>
        <r>
          <rPr>
            <b/>
            <sz val="9"/>
            <color indexed="81"/>
            <rFont val="Tahoma"/>
            <family val="2"/>
          </rPr>
          <t>Size Selection can be performed after shearing, ligation, or amplification.  In general we recommend a post-ligation size selection.  
Size Selection is not necessarily required.   A size selected product will have a tighter size range at the cost of total yield</t>
        </r>
      </text>
    </comment>
    <comment ref="F12" authorId="0">
      <text>
        <r>
          <rPr>
            <b/>
            <sz val="9"/>
            <color indexed="81"/>
            <rFont val="Tahoma"/>
            <family val="2"/>
          </rPr>
          <t>Size Selection can be performed after shearing, ligation, or amplification.  In general we recommend a post-ligation size selection.  
Size Selection is not necessarily required.  A size selected product will have a tighter size range at the cost of total yield</t>
        </r>
      </text>
    </comment>
    <comment ref="B13" authorId="0">
      <text>
        <r>
          <rPr>
            <b/>
            <sz val="9"/>
            <color indexed="81"/>
            <rFont val="Tahoma"/>
            <family val="2"/>
          </rPr>
          <t>This value is the first volumetric bead to sample ratio.  At this step, material larger than desired upper threshold is bound and removed.
Approximate ratio sizes:
0.4 &lt; 750 bp
0.5 &lt; 650 bp
0.6 &lt; 550 bp
0.7 &lt; 450 bp
0.8 &lt; 350 bp
0.9 &lt; 250 bp</t>
        </r>
      </text>
    </comment>
    <comment ref="D13" authorId="0">
      <text>
        <r>
          <rPr>
            <b/>
            <sz val="9"/>
            <color indexed="81"/>
            <rFont val="Tahoma"/>
            <family val="2"/>
          </rPr>
          <t>This value is the first volumetric bead to sample ratio.  At this step, material larger than desired upper threshold is bound and removed.
Approximate ratio sizes:
0.4 &lt; 750 bp
0.5 &lt; 650 bp
0.6 &lt; 550 bp
0.7 &lt; 450 bp
0.8 &lt; 350 bp
0.9 &lt; 250 bp</t>
        </r>
      </text>
    </comment>
    <comment ref="F13" authorId="0">
      <text>
        <r>
          <rPr>
            <b/>
            <sz val="9"/>
            <color indexed="81"/>
            <rFont val="Tahoma"/>
            <family val="2"/>
          </rPr>
          <t>This value is the first volumetric bead to sample ratio.  At this step, material larger than desired upper threshold is bound and removed.
Approximate ratio sizes:
0.4 &lt; 750 bp
0.5 &lt; 650 bp
0.6 &lt; 550 bp
0.7 &lt; 450 bp
0.8 &lt; 350 bp
0.9 &lt; 250 bp</t>
        </r>
      </text>
    </comment>
    <comment ref="B14" authorId="0">
      <text>
        <r>
          <rPr>
            <b/>
            <sz val="9"/>
            <color indexed="81"/>
            <rFont val="Tahoma"/>
            <family val="2"/>
          </rPr>
          <t xml:space="preserve">This value is the second and final volumetric ratio of PEG/bead to sample.  Remaining material, smaller than the first selection, but greater than lower desired size threshold is bound and kept for future processing.  
The spacing between the two ratios should always be at least 0.2 to avoid sample loss.  Differences greater than 0.2 can result in broad distributions.
Approximate size ratios:
0.6 &gt; 550 bp
0.7 &gt; 450 bp
0.8 &gt; 350 bp
0.9 &gt; 250 bp
1.0 &gt; 150 bp
</t>
        </r>
      </text>
    </comment>
    <comment ref="D14" authorId="0">
      <text>
        <r>
          <rPr>
            <b/>
            <sz val="9"/>
            <color indexed="81"/>
            <rFont val="Tahoma"/>
            <family val="2"/>
          </rPr>
          <t>This value is the second and final volumetric ratio of PEG/bead to sample.  Remaining material, smaller than the first selection, but greater than lower desired size threshold is bound and kept for future processing.  
The spacing between the two ratios should always be at least 0.2 to avoid sample loss.  Differences greater than 0.2 can result in broad distributions.
Approximate size ratios:
0.6 &gt; 550 bp
0.7 &gt; 450 bp
0.8 &gt; 350 bp
0.9 &gt; 250 bp
1.0 &gt; 150 bp</t>
        </r>
      </text>
    </comment>
    <comment ref="F14" authorId="0">
      <text>
        <r>
          <rPr>
            <b/>
            <sz val="9"/>
            <color indexed="81"/>
            <rFont val="Tahoma"/>
            <family val="2"/>
          </rPr>
          <t>This value is the second and final volumetric ratio of PEG/bead to sample.  Remaining material, smaller than the first selection, but greater than lower desired size threshold is bound and kept for future processing.  
The spacing between the two ratios should always be at least 0.2 to avoid sample loss.  Differences greater than 0.2 can result in broad distributions.
Approximate size ratios:
0.6 &gt; 550 bp
0.7 &gt; 450 bp
0.8 &gt; 350 bp
0.9 &gt; 250 bp
1.0 &gt; 150 bp</t>
        </r>
      </text>
    </comment>
    <comment ref="B15" authorId="0">
      <text>
        <r>
          <rPr>
            <b/>
            <sz val="9"/>
            <color indexed="81"/>
            <rFont val="Tahoma"/>
            <family val="2"/>
          </rPr>
          <t>Amplification may be required depending on workflow.  PCR-free workflows generally have a hgher input (200+ ng)</t>
        </r>
      </text>
    </comment>
    <comment ref="D15" authorId="0">
      <text>
        <r>
          <rPr>
            <b/>
            <sz val="9"/>
            <color indexed="81"/>
            <rFont val="Tahoma"/>
            <family val="2"/>
          </rPr>
          <t>Amplification may be required depending on workflow.  PCR-free workflows generally have a hgher input (200+ ng)</t>
        </r>
      </text>
    </comment>
    <comment ref="F15" authorId="0">
      <text>
        <r>
          <rPr>
            <b/>
            <sz val="9"/>
            <color indexed="81"/>
            <rFont val="Tahoma"/>
            <family val="2"/>
          </rPr>
          <t>Amplification may be required depending on workflow.  PCR-free workflows generally have a hgher input (500+ ng)</t>
        </r>
      </text>
    </comment>
    <comment ref="B28" authorId="0">
      <text>
        <r>
          <rPr>
            <b/>
            <sz val="9"/>
            <color indexed="81"/>
            <rFont val="Tahoma"/>
            <family val="2"/>
          </rPr>
          <t xml:space="preserve">Input amount affects the ratio of adapter to insert.  At higher amounts, at 15 µM stock represents a good compormise of efficiency vs price.  At lower amounts, a 200:1 ratio generally optimizes yield </t>
        </r>
      </text>
    </comment>
    <comment ref="E28" authorId="0">
      <text>
        <r>
          <rPr>
            <b/>
            <sz val="9"/>
            <color indexed="81"/>
            <rFont val="Tahoma"/>
            <family val="2"/>
          </rPr>
          <t>With both kits, low-input and challenging samples may benefit from higher adapter:insert molar ratios. Refer to Important Parameters in your TDS for details.</t>
        </r>
      </text>
    </comment>
    <comment ref="B43" authorId="0">
      <text>
        <r>
          <rPr>
            <b/>
            <sz val="9"/>
            <color indexed="81"/>
            <rFont val="Tahoma"/>
            <family val="2"/>
          </rPr>
          <t>The size of the insert affects the molarity of the sample and the true ratio of adapter:insert.  A larger mean fragment length results in less "ends" per amount of material and therefore less adapter required to maintain and optimal ratio.</t>
        </r>
      </text>
    </comment>
    <comment ref="D43" authorId="0">
      <text>
        <r>
          <rPr>
            <b/>
            <sz val="9"/>
            <color indexed="81"/>
            <rFont val="Tahoma"/>
            <family val="2"/>
          </rPr>
          <t>The size of the insert affects the molarity of the sample and the true ratio of adapter:insert.  A larger mean fragment length results in less "ends" per amount of material and therefore less adapter required to maintain and optimal ratio.</t>
        </r>
      </text>
    </comment>
    <comment ref="F43" authorId="0">
      <text>
        <r>
          <rPr>
            <b/>
            <sz val="9"/>
            <color indexed="81"/>
            <rFont val="Tahoma"/>
            <family val="2"/>
          </rPr>
          <t>Older kits did not account for ratios of adapter:insert and are more inclined to form adapter dimer than the Hyper kits.  Use the table above to achieve an estimate of adapter needs.</t>
        </r>
      </text>
    </comment>
    <comment ref="B45" authorId="0">
      <text>
        <r>
          <rPr>
            <b/>
            <sz val="9"/>
            <color indexed="81"/>
            <rFont val="Tahoma"/>
            <family val="2"/>
          </rPr>
          <t xml:space="preserve">Recommended ratios are in the above table.  A higher ratio can result in increased yield especially for low input or challenging samples but should be attempted alongside the standard recommendation.  </t>
        </r>
      </text>
    </comment>
    <comment ref="D45" authorId="0">
      <text>
        <r>
          <rPr>
            <b/>
            <sz val="9"/>
            <color indexed="81"/>
            <rFont val="Tahoma"/>
            <family val="2"/>
          </rPr>
          <t xml:space="preserve">Recommended ratios are in the above table.  A higher ratio can result in increased yield especially for low input or challenging samples but should be attempted alongside the standard recommendation.  </t>
        </r>
      </text>
    </comment>
    <comment ref="F45" authorId="0">
      <text>
        <r>
          <rPr>
            <b/>
            <sz val="9"/>
            <color indexed="81"/>
            <rFont val="Tahoma"/>
            <family val="2"/>
          </rPr>
          <t>Recommended concentrations are in the above table.  A higher ratio can result in increased yield especially for low input or challenging samples but should be attempted alongside the standard recommendation.  
Adapter:insert ratio of 10 is recommended for most applications</t>
        </r>
      </text>
    </comment>
    <comment ref="B47" authorId="0">
      <text>
        <r>
          <rPr>
            <b/>
            <sz val="9"/>
            <color indexed="81"/>
            <rFont val="Tahoma"/>
            <family val="2"/>
          </rPr>
          <t xml:space="preserve">The default value is 5 µL into the ligation reaction.  It is possible to increase this volume to 10 µL which effectively doubles the ratio and can be useful for high inputs or low adapter stocks.  </t>
        </r>
      </text>
    </comment>
    <comment ref="D47" authorId="0">
      <text>
        <r>
          <rPr>
            <b/>
            <sz val="9"/>
            <color indexed="81"/>
            <rFont val="Tahoma"/>
            <family val="2"/>
          </rPr>
          <t xml:space="preserve">The default value is 5 µL into the ligation reaction.  It is possible to increase this volume to 10 µL which effectively doubles the ratio and can be useful for high inputs or low adapter stocks.  </t>
        </r>
      </text>
    </comment>
    <comment ref="F47" authorId="0">
      <text>
        <r>
          <rPr>
            <b/>
            <sz val="9"/>
            <color indexed="81"/>
            <rFont val="Tahoma"/>
            <family val="2"/>
          </rPr>
          <t xml:space="preserve">The default value is 5 µL into the ligation reaction.  It is possible to increase this volume to 10 µL which effectively doubles the ratio and can be useful for high inputs or low adapter stocks.  </t>
        </r>
      </text>
    </comment>
    <comment ref="B48" authorId="0">
      <text>
        <r>
          <rPr>
            <b/>
            <sz val="9"/>
            <color indexed="81"/>
            <rFont val="Tahoma"/>
            <family val="2"/>
          </rPr>
          <t>This value represents what the customer will be using into their workflow.  It should match the expected value in the above table</t>
        </r>
      </text>
    </comment>
    <comment ref="D48" authorId="0">
      <text>
        <r>
          <rPr>
            <b/>
            <sz val="9"/>
            <color indexed="81"/>
            <rFont val="Tahoma"/>
            <family val="2"/>
          </rPr>
          <t xml:space="preserve">This value represents what the customer will be using into their workflow.  It should match the expected value in the above table low adapter stocks.  </t>
        </r>
      </text>
    </comment>
    <comment ref="F48" authorId="0">
      <text>
        <r>
          <rPr>
            <b/>
            <sz val="9"/>
            <color indexed="81"/>
            <rFont val="Tahoma"/>
            <family val="2"/>
          </rPr>
          <t>This value represents what the customer will be using into their workflow.  It should match the expected value in the above table</t>
        </r>
      </text>
    </comment>
    <comment ref="B49" authorId="0">
      <text>
        <r>
          <rPr>
            <b/>
            <sz val="9"/>
            <color indexed="81"/>
            <rFont val="Tahoma"/>
            <family val="2"/>
          </rPr>
          <t>Kapa Adapters come in 30 µM and 1.5 µM concentrations.  Overall use should be considered.  Adapters can always be diluted down but there is a limit on samples able to processed with lower concentration adapters</t>
        </r>
      </text>
    </comment>
    <comment ref="D49" authorId="0">
      <text>
        <r>
          <rPr>
            <b/>
            <sz val="9"/>
            <color indexed="81"/>
            <rFont val="Tahoma"/>
            <family val="2"/>
          </rPr>
          <t>Kapa Adapters come in 30 µM and 1.5 µM concentrations.  Overall use should be considered.  Adapters can always be diluted down but there is a limit on samples able to processed with lower concentration adapters</t>
        </r>
      </text>
    </comment>
    <comment ref="F49" authorId="0">
      <text>
        <r>
          <rPr>
            <b/>
            <sz val="9"/>
            <color indexed="81"/>
            <rFont val="Tahoma"/>
            <family val="2"/>
          </rPr>
          <t>Kapa Adapters come in 30 µM and 1.5 µM concentrations.  Overall use should be considered.  Adapters can always be diluted down but there is a limit on samples able to processed with lower concentration adapters</t>
        </r>
      </text>
    </comment>
    <comment ref="B50" authorId="0">
      <text>
        <r>
          <rPr>
            <b/>
            <sz val="9"/>
            <color indexed="81"/>
            <rFont val="Tahoma"/>
            <family val="2"/>
          </rPr>
          <t>What dilution factor the adapters should undergo</t>
        </r>
      </text>
    </comment>
    <comment ref="D50" authorId="0">
      <text>
        <r>
          <rPr>
            <b/>
            <sz val="9"/>
            <color indexed="81"/>
            <rFont val="Tahoma"/>
            <family val="2"/>
          </rPr>
          <t>What dilution factor the adapters should undergo</t>
        </r>
      </text>
    </comment>
    <comment ref="F50" authorId="0">
      <text>
        <r>
          <rPr>
            <b/>
            <sz val="9"/>
            <color indexed="81"/>
            <rFont val="Tahoma"/>
            <family val="2"/>
          </rPr>
          <t>What dilution factor the adapters should undergo</t>
        </r>
      </text>
    </comment>
    <comment ref="B51"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D51"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F51"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B52" authorId="0">
      <text>
        <r>
          <rPr>
            <b/>
            <sz val="9"/>
            <color indexed="81"/>
            <rFont val="Tahoma"/>
            <family val="2"/>
          </rPr>
          <t xml:space="preserve">Total number of lbraries able to be made from both sets of Kapa Adapters at the concentration indicated </t>
        </r>
      </text>
    </comment>
    <comment ref="D52" authorId="0">
      <text>
        <r>
          <rPr>
            <b/>
            <sz val="9"/>
            <color indexed="81"/>
            <rFont val="Tahoma"/>
            <family val="2"/>
          </rPr>
          <t xml:space="preserve">Total number of lbraries able to be made from both sets of Kapa Adapters at the concentration indicated </t>
        </r>
      </text>
    </comment>
    <comment ref="F52" authorId="0">
      <text>
        <r>
          <rPr>
            <b/>
            <sz val="9"/>
            <color indexed="81"/>
            <rFont val="Tahoma"/>
            <family val="2"/>
          </rPr>
          <t xml:space="preserve">Total number of lbraries able to be made from both sets of Kapa Adapters at the concentration indicated </t>
        </r>
      </text>
    </comment>
    <comment ref="B53" authorId="0">
      <text>
        <r>
          <rPr>
            <b/>
            <sz val="9"/>
            <color indexed="81"/>
            <rFont val="Tahoma"/>
            <family val="2"/>
          </rPr>
          <t xml:space="preserve">Total number of lbraries able to be made from one set of Kapa Adapters at the concentration indicated </t>
        </r>
      </text>
    </comment>
    <comment ref="D53" authorId="0">
      <text>
        <r>
          <rPr>
            <b/>
            <sz val="9"/>
            <color indexed="81"/>
            <rFont val="Tahoma"/>
            <family val="2"/>
          </rPr>
          <t xml:space="preserve">Total number of lbraries able to be made from one set of Kapa Adapters at the concentration indicated </t>
        </r>
      </text>
    </comment>
    <comment ref="F53" authorId="0">
      <text>
        <r>
          <rPr>
            <b/>
            <sz val="9"/>
            <color indexed="81"/>
            <rFont val="Tahoma"/>
            <family val="2"/>
          </rPr>
          <t xml:space="preserve">Total number of lbraries able to be made from one set of Kapa Adapters at the concentration indicated </t>
        </r>
      </text>
    </comment>
    <comment ref="B62" authorId="0">
      <text>
        <r>
          <rPr>
            <b/>
            <sz val="9"/>
            <color indexed="81"/>
            <rFont val="Tahoma"/>
            <family val="2"/>
          </rPr>
          <t>Input into Library Preperation in ng</t>
        </r>
      </text>
    </comment>
    <comment ref="D62" authorId="0">
      <text>
        <r>
          <rPr>
            <b/>
            <sz val="9"/>
            <color indexed="81"/>
            <rFont val="Tahoma"/>
            <family val="2"/>
          </rPr>
          <t>Input into Library Preperation in ng</t>
        </r>
      </text>
    </comment>
    <comment ref="F62" authorId="0">
      <text>
        <r>
          <rPr>
            <b/>
            <sz val="9"/>
            <color indexed="81"/>
            <rFont val="Tahoma"/>
            <family val="2"/>
          </rPr>
          <t>Input into Library Preperation in ng</t>
        </r>
      </text>
    </comment>
    <comment ref="B63" authorId="0">
      <text>
        <r>
          <rPr>
            <b/>
            <sz val="9"/>
            <color indexed="81"/>
            <rFont val="Tahoma"/>
            <family val="2"/>
          </rPr>
          <t>The size of the insert affects the molarity of the sample and the true ratio of adapter:insert.  A larger mean fragment length results in less "ends" per amount of material and therefore less adapter required to maintain and optimal ratio.</t>
        </r>
      </text>
    </comment>
    <comment ref="D63" authorId="0">
      <text>
        <r>
          <rPr>
            <b/>
            <sz val="9"/>
            <color indexed="81"/>
            <rFont val="Tahoma"/>
            <family val="2"/>
          </rPr>
          <t>The size of the insert affects the molarity of the sample and the true ratio of adapter:insert.  A larger mean fragment length results in less "ends" per amount of material and therefore less adapter required to maintain and optimal ratio.</t>
        </r>
      </text>
    </comment>
    <comment ref="F63" authorId="0">
      <text>
        <r>
          <rPr>
            <b/>
            <sz val="9"/>
            <color indexed="81"/>
            <rFont val="Tahoma"/>
            <family val="2"/>
          </rPr>
          <t>Older kits did not account for ratios of adapter:insert and are more inclined to form adapter dimer than the Hyper kits.  Use the table above to achieve an estimate of adapter needs.</t>
        </r>
      </text>
    </comment>
    <comment ref="B65" authorId="0">
      <text>
        <r>
          <rPr>
            <b/>
            <sz val="9"/>
            <color indexed="81"/>
            <rFont val="Tahoma"/>
            <family val="2"/>
          </rPr>
          <t xml:space="preserve">Recommended ratios are in the above table.  A higher ratio can result in increased yield especially for low input or challenging samples but should be attempted alongside the standard recommendation.  </t>
        </r>
      </text>
    </comment>
    <comment ref="D65" authorId="0">
      <text>
        <r>
          <rPr>
            <b/>
            <sz val="9"/>
            <color indexed="81"/>
            <rFont val="Tahoma"/>
            <family val="2"/>
          </rPr>
          <t xml:space="preserve">Recommended ratios are in the above table.  A higher ratio can result in increased yield especially for low input or challenging samples but should be attempted alongside the standard recommendation.  </t>
        </r>
      </text>
    </comment>
    <comment ref="F65" authorId="0">
      <text>
        <r>
          <rPr>
            <b/>
            <sz val="9"/>
            <color indexed="81"/>
            <rFont val="Tahoma"/>
            <family val="2"/>
          </rPr>
          <t xml:space="preserve">Recommended ratios are in the above table.  A higher ratio can result in increased yield especially for low input or challenging samples but should be attempted alongside the standard recommendation.  </t>
        </r>
      </text>
    </comment>
    <comment ref="B67" authorId="0">
      <text>
        <r>
          <rPr>
            <b/>
            <sz val="9"/>
            <color indexed="81"/>
            <rFont val="Tahoma"/>
            <family val="2"/>
          </rPr>
          <t xml:space="preserve">The default value is 5 µL into the ligation reaction.  It is possible to increase this volume to 10 µL which effectively doubles the ratio and can be useful for high inputs or low adapter stocks.  </t>
        </r>
      </text>
    </comment>
    <comment ref="D67" authorId="0">
      <text>
        <r>
          <rPr>
            <b/>
            <sz val="9"/>
            <color indexed="81"/>
            <rFont val="Tahoma"/>
            <family val="2"/>
          </rPr>
          <t xml:space="preserve">The default value is 5 µL into the ligation reaction.  It is possible to increase this volume to 10 µL which effectively doubles the ratio and can be useful for high inputs or low adapter stocks.  </t>
        </r>
      </text>
    </comment>
    <comment ref="F67" authorId="0">
      <text>
        <r>
          <rPr>
            <b/>
            <sz val="9"/>
            <color indexed="81"/>
            <rFont val="Tahoma"/>
            <family val="2"/>
          </rPr>
          <t xml:space="preserve">The default value is 5 µL into the ligation reaction.  It is possible to increase this volume to 10 µL which effectively doubles the ratio and can be useful for high inputs or low adapter stocks.  </t>
        </r>
      </text>
    </comment>
    <comment ref="B68" authorId="0">
      <text>
        <r>
          <rPr>
            <b/>
            <sz val="9"/>
            <color indexed="81"/>
            <rFont val="Tahoma"/>
            <family val="2"/>
          </rPr>
          <t>This value represents what the customer will be using into their workflow.  It should match the expected value in the above table</t>
        </r>
      </text>
    </comment>
    <comment ref="D68" authorId="0">
      <text>
        <r>
          <rPr>
            <b/>
            <sz val="9"/>
            <color indexed="81"/>
            <rFont val="Tahoma"/>
            <family val="2"/>
          </rPr>
          <t xml:space="preserve">This value represents what the customer will be using into their workflow.  It should match the expected value in the above table low adapter stocks.  </t>
        </r>
      </text>
    </comment>
    <comment ref="F68" authorId="0">
      <text>
        <r>
          <rPr>
            <b/>
            <sz val="9"/>
            <color indexed="81"/>
            <rFont val="Tahoma"/>
            <family val="2"/>
          </rPr>
          <t>This value represents what the customer will be using into their workflow.  It should match the expected value in the above table</t>
        </r>
      </text>
    </comment>
    <comment ref="B69" authorId="0">
      <text>
        <r>
          <rPr>
            <b/>
            <sz val="9"/>
            <color indexed="81"/>
            <rFont val="Tahoma"/>
            <family val="2"/>
          </rPr>
          <t>Kapa Adapters come in 30 µM and 1.5 µM concentrations.  Overall use should be considered.  Adapters can always be diluted down but there is a limit on samples able to processed with lower concentration adapters</t>
        </r>
      </text>
    </comment>
    <comment ref="D69" authorId="0">
      <text>
        <r>
          <rPr>
            <b/>
            <sz val="9"/>
            <color indexed="81"/>
            <rFont val="Tahoma"/>
            <family val="2"/>
          </rPr>
          <t>Kapa Adapters come in 30 µM and 1.5 µM concentrations.  Overall use should be considered.  Adapters can always be diluted down but there is a limit on samples able to processed with lower concentration adapters</t>
        </r>
      </text>
    </comment>
    <comment ref="F69" authorId="0">
      <text>
        <r>
          <rPr>
            <b/>
            <sz val="9"/>
            <color indexed="81"/>
            <rFont val="Tahoma"/>
            <family val="2"/>
          </rPr>
          <t>Kapa Adapters come in 30 µM and 1.5 µM concentrations.  Overall use should be considered.  Adapters can always be diluted down but there is a limit on samples able to processed with lower concentration adapters</t>
        </r>
      </text>
    </comment>
    <comment ref="B70" authorId="0">
      <text>
        <r>
          <rPr>
            <b/>
            <sz val="9"/>
            <color indexed="81"/>
            <rFont val="Tahoma"/>
            <family val="2"/>
          </rPr>
          <t>What dilution factor the adapters should undergo</t>
        </r>
      </text>
    </comment>
    <comment ref="D70" authorId="0">
      <text>
        <r>
          <rPr>
            <b/>
            <sz val="9"/>
            <color indexed="81"/>
            <rFont val="Tahoma"/>
            <family val="2"/>
          </rPr>
          <t>What dilution factor the adapters should undergo</t>
        </r>
      </text>
    </comment>
    <comment ref="F70" authorId="0">
      <text>
        <r>
          <rPr>
            <b/>
            <sz val="9"/>
            <color indexed="81"/>
            <rFont val="Tahoma"/>
            <family val="2"/>
          </rPr>
          <t>What dilution factor the adapters should undergo</t>
        </r>
      </text>
    </comment>
    <comment ref="B71"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D71"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F71"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B72" authorId="0">
      <text>
        <r>
          <rPr>
            <b/>
            <sz val="9"/>
            <color indexed="81"/>
            <rFont val="Tahoma"/>
            <family val="2"/>
          </rPr>
          <t xml:space="preserve">Total number of lbraries able to be made from both sets of Kapa Adapters at the concentration indicated </t>
        </r>
      </text>
    </comment>
    <comment ref="D72" authorId="0">
      <text>
        <r>
          <rPr>
            <b/>
            <sz val="9"/>
            <color indexed="81"/>
            <rFont val="Tahoma"/>
            <family val="2"/>
          </rPr>
          <t xml:space="preserve">Total number of lbraries able to be made from both sets of Kapa Adapters at the concentration indicated </t>
        </r>
      </text>
    </comment>
    <comment ref="F72" authorId="0">
      <text>
        <r>
          <rPr>
            <b/>
            <sz val="9"/>
            <color indexed="81"/>
            <rFont val="Tahoma"/>
            <family val="2"/>
          </rPr>
          <t xml:space="preserve">Total number of lbraries able to be made from both sets of Kapa Adapters at the concentration indicated </t>
        </r>
      </text>
    </comment>
  </commentList>
</comments>
</file>

<file path=xl/comments2.xml><?xml version="1.0" encoding="utf-8"?>
<comments xmlns="http://schemas.openxmlformats.org/spreadsheetml/2006/main">
  <authors>
    <author>Sogoloff, Brian {DNAA~Wilmington}</author>
  </authors>
  <commentList>
    <comment ref="B8" authorId="0">
      <text>
        <r>
          <rPr>
            <b/>
            <sz val="9"/>
            <color indexed="81"/>
            <rFont val="Tahoma"/>
            <family val="2"/>
          </rPr>
          <t>Number of samples to be processed</t>
        </r>
      </text>
    </comment>
    <comment ref="D8" authorId="0">
      <text>
        <r>
          <rPr>
            <b/>
            <sz val="9"/>
            <color indexed="81"/>
            <rFont val="Tahoma"/>
            <family val="2"/>
          </rPr>
          <t>Number of samples</t>
        </r>
      </text>
    </comment>
    <comment ref="B10" authorId="0">
      <text>
        <r>
          <rPr>
            <b/>
            <sz val="9"/>
            <color indexed="81"/>
            <rFont val="Tahoma"/>
            <family val="2"/>
          </rPr>
          <t>Beads required for upfront enrichment/depletion and library preperation</t>
        </r>
      </text>
    </comment>
    <comment ref="B11" authorId="0">
      <text>
        <r>
          <rPr>
            <b/>
            <sz val="9"/>
            <color indexed="81"/>
            <rFont val="Tahoma"/>
            <family val="2"/>
          </rPr>
          <t>Beads required to cleanup amplified product</t>
        </r>
      </text>
    </comment>
    <comment ref="B19" authorId="0">
      <text>
        <r>
          <rPr>
            <b/>
            <sz val="9"/>
            <color indexed="81"/>
            <rFont val="Tahoma"/>
            <family val="2"/>
          </rPr>
          <t>Input in ng into the RNA workflow.  This will be enriched (mRNA) or depleted (RiboErase) or should already have gone through a Ribosomal removal for Total RNA.  This value affects the concnetration of adapter to use.</t>
        </r>
      </text>
    </comment>
    <comment ref="D19" authorId="0">
      <text>
        <r>
          <rPr>
            <b/>
            <sz val="9"/>
            <color indexed="81"/>
            <rFont val="Tahoma"/>
            <family val="2"/>
          </rPr>
          <t>Input in ng into the RNA workflow.  This will be enriched (mRNA) or depleted (RiboErase) or should already have gone through a Ribosomal removal for Total RNA.  This value affects the concnetration of adapter to use.</t>
        </r>
      </text>
    </comment>
    <comment ref="F19" authorId="0">
      <text>
        <r>
          <rPr>
            <b/>
            <sz val="9"/>
            <color indexed="81"/>
            <rFont val="Tahoma"/>
            <family val="2"/>
          </rPr>
          <t>Input in ng into the RNA workflow.  This will be enriched (mRNA) or depleted (RiboErase) or should already have gone through a Ribosomal removal for Total RNA.  This value affects the concnetration of adapter to use.</t>
        </r>
      </text>
    </comment>
    <comment ref="H19" authorId="0">
      <text>
        <r>
          <rPr>
            <b/>
            <sz val="9"/>
            <color indexed="81"/>
            <rFont val="Tahoma"/>
            <family val="2"/>
          </rPr>
          <t>Input in ng into the RNA workflow.  This will be enriched (mRNA) or depleted (RiboErase) or should already have gone through a Ribosomal removal for Total RNA.  This value affects the concnetration of adapter to use.</t>
        </r>
      </text>
    </comment>
    <comment ref="L19" authorId="0">
      <text>
        <r>
          <rPr>
            <b/>
            <sz val="9"/>
            <color indexed="81"/>
            <rFont val="Tahoma"/>
            <family val="2"/>
          </rPr>
          <t>Input in ng into the RNA workflow.  This will be enriched (mRNA) or depleted (RiboErase) or should already have gone through a Ribosomal removal for Total RNA.  This value affects the concnetration of adapter to use.</t>
        </r>
      </text>
    </comment>
    <comment ref="J20" authorId="0">
      <text>
        <r>
          <rPr>
            <b/>
            <sz val="9"/>
            <color indexed="81"/>
            <rFont val="Tahoma"/>
            <family val="2"/>
          </rPr>
          <t>Higher Quaility RNA may require a higher concentration of adapter.  If unknown select High Quality for a "safe" estimate</t>
        </r>
      </text>
    </comment>
    <comment ref="L20" authorId="0">
      <text>
        <r>
          <rPr>
            <b/>
            <sz val="9"/>
            <color indexed="81"/>
            <rFont val="Tahoma"/>
            <family val="2"/>
          </rPr>
          <t>Higher Quaility RNA may require a higher concentration of adapter.  If unknown select High Quality for a "safe" estimate</t>
        </r>
      </text>
    </comment>
    <comment ref="B21" authorId="0">
      <text>
        <r>
          <rPr>
            <b/>
            <sz val="9"/>
            <color indexed="81"/>
            <rFont val="Tahoma"/>
            <family val="2"/>
          </rPr>
          <t>Adapter stock concentration to be use with the workflow.  This depends of input asnd sometimes quality.  5 µL of this stock will be used into the ligation reaction</t>
        </r>
      </text>
    </comment>
    <comment ref="B23" authorId="0">
      <text>
        <r>
          <rPr>
            <b/>
            <sz val="9"/>
            <color indexed="81"/>
            <rFont val="Tahoma"/>
            <family val="2"/>
          </rPr>
          <t>Kapa Adapter concnetration to be used.  1.5 µL is genertally used for old RNA-Seq workflows whereas some RNA Hyper workflows will require the 30 µM versions</t>
        </r>
      </text>
    </comment>
    <comment ref="D23" authorId="0">
      <text>
        <r>
          <rPr>
            <b/>
            <sz val="9"/>
            <color indexed="81"/>
            <rFont val="Tahoma"/>
            <family val="2"/>
          </rPr>
          <t>Kapa Adapter concnetration to be used.  1.5 µL is genertally used for old RNA-Seq workflows whereas some RNA Hyper workflows will require the 30 µM versions</t>
        </r>
      </text>
    </comment>
    <comment ref="F23" authorId="0">
      <text>
        <r>
          <rPr>
            <b/>
            <sz val="9"/>
            <color indexed="81"/>
            <rFont val="Tahoma"/>
            <family val="2"/>
          </rPr>
          <t>Kapa Adapter concnetration to be used.  1.5 µL is genertally used for old RNA-Seq workflows whereas some RNA Hyper workflows will require the 30 µM versions</t>
        </r>
      </text>
    </comment>
    <comment ref="H23" authorId="0">
      <text>
        <r>
          <rPr>
            <b/>
            <sz val="9"/>
            <color indexed="81"/>
            <rFont val="Tahoma"/>
            <family val="2"/>
          </rPr>
          <t>Kapa Adapter concnetration to be used.  1.5 µL is genertally used for old RNA-Seq workflows whereas some RNA Hyper workflows will require the 30 µM versions</t>
        </r>
      </text>
    </comment>
    <comment ref="J23" authorId="0">
      <text>
        <r>
          <rPr>
            <b/>
            <sz val="9"/>
            <color indexed="81"/>
            <rFont val="Tahoma"/>
            <family val="2"/>
          </rPr>
          <t>Kapa Adapter concnetration to be used.  1.5 µL is genertally used for old RNA-Seq workflows whereas some RNA Hyper workflows will require the 30 µM versions</t>
        </r>
      </text>
    </comment>
    <comment ref="L23" authorId="0">
      <text>
        <r>
          <rPr>
            <b/>
            <sz val="9"/>
            <color indexed="81"/>
            <rFont val="Tahoma"/>
            <family val="2"/>
          </rPr>
          <t>Kapa Adapter concnetration to be used.  1.5 µL is genertally used for old RNA-Seq workflows whereas some RNA Hyper workflows will require the 30 µM versions</t>
        </r>
      </text>
    </comment>
    <comment ref="B24" authorId="0">
      <text>
        <r>
          <rPr>
            <b/>
            <sz val="9"/>
            <color indexed="81"/>
            <rFont val="Tahoma"/>
            <family val="2"/>
          </rPr>
          <t>How much the KAPA adapter will be required to be diluted when performing Library Preperation</t>
        </r>
      </text>
    </comment>
    <comment ref="D24" authorId="0">
      <text>
        <r>
          <rPr>
            <b/>
            <sz val="9"/>
            <color indexed="81"/>
            <rFont val="Tahoma"/>
            <family val="2"/>
          </rPr>
          <t>How much the KAPA adapter will be required to be diluted when performing Library Preperation</t>
        </r>
      </text>
    </comment>
    <comment ref="F24" authorId="0">
      <text>
        <r>
          <rPr>
            <b/>
            <sz val="9"/>
            <color indexed="81"/>
            <rFont val="Tahoma"/>
            <family val="2"/>
          </rPr>
          <t>How much the KAPA adapter will be required to be diluted when performing Library Preperation</t>
        </r>
      </text>
    </comment>
    <comment ref="H24" authorId="0">
      <text>
        <r>
          <rPr>
            <b/>
            <sz val="9"/>
            <color indexed="81"/>
            <rFont val="Tahoma"/>
            <family val="2"/>
          </rPr>
          <t>How much the KAPA adapter will be required to be diluted when performing Library Preperation</t>
        </r>
      </text>
    </comment>
    <comment ref="J24" authorId="0">
      <text>
        <r>
          <rPr>
            <b/>
            <sz val="9"/>
            <color indexed="81"/>
            <rFont val="Tahoma"/>
            <family val="2"/>
          </rPr>
          <t>How much the KAPA adapter will be required to be diluted when performing Library Preperation</t>
        </r>
      </text>
    </comment>
    <comment ref="L24" authorId="0">
      <text>
        <r>
          <rPr>
            <b/>
            <sz val="9"/>
            <color indexed="81"/>
            <rFont val="Tahoma"/>
            <family val="2"/>
          </rPr>
          <t>How much the KAPA adapter will be required to be diluted when performing Library Preperation</t>
        </r>
      </text>
    </comment>
    <comment ref="B25"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D25"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F25"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H25"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J25"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L25"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B26" authorId="0">
      <text>
        <r>
          <rPr>
            <b/>
            <sz val="9"/>
            <color indexed="81"/>
            <rFont val="Tahoma"/>
            <family val="2"/>
          </rPr>
          <t xml:space="preserve">Total number of lbraries able to be made from both sets of Kapa Adapters at the concntration indicated </t>
        </r>
      </text>
    </comment>
    <comment ref="D26" authorId="0">
      <text>
        <r>
          <rPr>
            <b/>
            <sz val="9"/>
            <color indexed="81"/>
            <rFont val="Tahoma"/>
            <family val="2"/>
          </rPr>
          <t xml:space="preserve">Total number of lbraries able to be made from both sets of Kapa Adapters at the concntration indicated </t>
        </r>
      </text>
    </comment>
    <comment ref="F26" authorId="0">
      <text>
        <r>
          <rPr>
            <b/>
            <sz val="9"/>
            <color indexed="81"/>
            <rFont val="Tahoma"/>
            <family val="2"/>
          </rPr>
          <t xml:space="preserve">Total number of lbraries able to be made from both sets of Kapa Adapters at the concntration indicated </t>
        </r>
      </text>
    </comment>
    <comment ref="H26" authorId="0">
      <text>
        <r>
          <rPr>
            <b/>
            <sz val="9"/>
            <color indexed="81"/>
            <rFont val="Tahoma"/>
            <family val="2"/>
          </rPr>
          <t xml:space="preserve">Total number of lbraries able to be made from both sets of Kapa Adapters at the concntration indicated </t>
        </r>
      </text>
    </comment>
    <comment ref="J26" authorId="0">
      <text>
        <r>
          <rPr>
            <b/>
            <sz val="9"/>
            <color indexed="81"/>
            <rFont val="Tahoma"/>
            <family val="2"/>
          </rPr>
          <t xml:space="preserve">Total number of lbraries able to be made from both sets of Kapa Adapters at the concntration indicated </t>
        </r>
      </text>
    </comment>
    <comment ref="L26" authorId="0">
      <text>
        <r>
          <rPr>
            <b/>
            <sz val="9"/>
            <color indexed="81"/>
            <rFont val="Tahoma"/>
            <family val="2"/>
          </rPr>
          <t xml:space="preserve">Total number of lbraries able to be made from both sets of Kapa Adapters at the concntration indicated </t>
        </r>
      </text>
    </comment>
    <comment ref="B27" authorId="0">
      <text>
        <r>
          <rPr>
            <b/>
            <sz val="9"/>
            <color indexed="81"/>
            <rFont val="Tahoma"/>
            <family val="2"/>
          </rPr>
          <t xml:space="preserve">Total number of lbraries able to be made from one set of Kapa Adapters at the concentration indicated </t>
        </r>
      </text>
    </comment>
    <comment ref="D27" authorId="0">
      <text>
        <r>
          <rPr>
            <b/>
            <sz val="9"/>
            <color indexed="81"/>
            <rFont val="Tahoma"/>
            <family val="2"/>
          </rPr>
          <t xml:space="preserve">Total number of lbraries able to be made from one set of Kapa Adapters at the concentration indicated </t>
        </r>
      </text>
    </comment>
    <comment ref="F27" authorId="0">
      <text>
        <r>
          <rPr>
            <b/>
            <sz val="9"/>
            <color indexed="81"/>
            <rFont val="Tahoma"/>
            <family val="2"/>
          </rPr>
          <t xml:space="preserve">Total number of lbraries able to be made from one set of Kapa Adapters at the concentration indicated </t>
        </r>
      </text>
    </comment>
    <comment ref="J27" authorId="0">
      <text>
        <r>
          <rPr>
            <b/>
            <sz val="9"/>
            <color indexed="81"/>
            <rFont val="Tahoma"/>
            <family val="2"/>
          </rPr>
          <t xml:space="preserve">Total number of lbraries able to be made from one set of Kapa Adapters at the concentration indicated </t>
        </r>
      </text>
    </comment>
    <comment ref="L27" authorId="0">
      <text>
        <r>
          <rPr>
            <b/>
            <sz val="9"/>
            <color indexed="81"/>
            <rFont val="Tahoma"/>
            <family val="2"/>
          </rPr>
          <t xml:space="preserve">Total number of lbraries able to be made from one set of Kapa Adapters at the concentration indicated </t>
        </r>
      </text>
    </comment>
    <comment ref="B31" authorId="0">
      <text>
        <r>
          <rPr>
            <b/>
            <sz val="9"/>
            <color indexed="81"/>
            <rFont val="Tahoma"/>
            <family val="2"/>
          </rPr>
          <t>Input in ng into the RNA workflow.  This will be enriched (mRNA) or depleted (RiboErase) or should already have gone through a Ribosomal removal for Total RNA.  This value affects the concnetration of adapter to use.</t>
        </r>
      </text>
    </comment>
    <comment ref="D31" authorId="0">
      <text>
        <r>
          <rPr>
            <b/>
            <sz val="9"/>
            <color indexed="81"/>
            <rFont val="Tahoma"/>
            <family val="2"/>
          </rPr>
          <t>Input in ng into the RNA workflow.  This will be enriched (mRNA) or depleted (RiboErase) or should already have gone through a Ribosomal removal for Total RNA.  This value affects the concnetration of adapter to use.</t>
        </r>
      </text>
    </comment>
    <comment ref="F31" authorId="0">
      <text>
        <r>
          <rPr>
            <b/>
            <sz val="9"/>
            <color indexed="81"/>
            <rFont val="Tahoma"/>
            <family val="2"/>
          </rPr>
          <t>Input in ng into the RNA workflow.  This will be enriched (mRNA) or depleted (RiboErase) or should already have gone through a Ribosomal removal for Total RNA.  This value affects the concnetration of adapter to use.</t>
        </r>
      </text>
    </comment>
    <comment ref="H31" authorId="0">
      <text>
        <r>
          <rPr>
            <b/>
            <sz val="9"/>
            <color indexed="81"/>
            <rFont val="Tahoma"/>
            <family val="2"/>
          </rPr>
          <t>Input in ng into the RNA workflow.  This will be enriched (mRNA) or depleted (RiboErase) or should already have gone through a Ribosomal removal for Total RNA.  This value affects the concnetration of adapter to use.</t>
        </r>
      </text>
    </comment>
    <comment ref="L31" authorId="0">
      <text>
        <r>
          <rPr>
            <b/>
            <sz val="9"/>
            <color indexed="81"/>
            <rFont val="Tahoma"/>
            <family val="2"/>
          </rPr>
          <t>Input in ng into the RNA workflow.  This will be enriched (mRNA) or depleted (RiboErase) or should already have gone through a Ribosomal removal for Total RNA.  This value affects the concnetration of adapter to use.</t>
        </r>
      </text>
    </comment>
    <comment ref="J32" authorId="0">
      <text>
        <r>
          <rPr>
            <b/>
            <sz val="9"/>
            <color indexed="81"/>
            <rFont val="Tahoma"/>
            <family val="2"/>
          </rPr>
          <t>Higher Quaility RNA may require a higher concentration of adapter.  If unknown select High Quality for a "safe" estimate</t>
        </r>
      </text>
    </comment>
    <comment ref="L32" authorId="0">
      <text>
        <r>
          <rPr>
            <b/>
            <sz val="9"/>
            <color indexed="81"/>
            <rFont val="Tahoma"/>
            <family val="2"/>
          </rPr>
          <t>Higher Quaility RNA may require a higher concentration of adapter.  If unknown select High Quality for a "safe" estimate</t>
        </r>
      </text>
    </comment>
    <comment ref="B33" authorId="0">
      <text>
        <r>
          <rPr>
            <b/>
            <sz val="9"/>
            <color indexed="81"/>
            <rFont val="Tahoma"/>
            <family val="2"/>
          </rPr>
          <t>Adapter stock concentration to be use with the workflow.  This depends of input asnd sometimes quality.  5 µL of this stock will be used into the ligation reaction</t>
        </r>
      </text>
    </comment>
    <comment ref="B34" authorId="0">
      <text>
        <r>
          <rPr>
            <b/>
            <sz val="9"/>
            <color indexed="81"/>
            <rFont val="Tahoma"/>
            <family val="2"/>
          </rPr>
          <t>Kapa Adapter concnetration to be used.  1.5 µL is genertally used for old RNA-Seq workflows whereas some RNA Hyper workflows will require the 30 µM versions</t>
        </r>
      </text>
    </comment>
    <comment ref="D34" authorId="0">
      <text>
        <r>
          <rPr>
            <b/>
            <sz val="9"/>
            <color indexed="81"/>
            <rFont val="Tahoma"/>
            <family val="2"/>
          </rPr>
          <t>Kapa Adapter concnetration to be used.  1.5 µL is genertally used for old RNA-Seq workflows whereas some RNA Hyper workflows will require the 30 µM versions</t>
        </r>
      </text>
    </comment>
    <comment ref="F34" authorId="0">
      <text>
        <r>
          <rPr>
            <b/>
            <sz val="9"/>
            <color indexed="81"/>
            <rFont val="Tahoma"/>
            <family val="2"/>
          </rPr>
          <t>Kapa Adapter concnetration to be used.  1.5 µL is genertally used for old RNA-Seq workflows whereas some RNA Hyper workflows will require the 30 µM versions</t>
        </r>
      </text>
    </comment>
    <comment ref="H34" authorId="0">
      <text>
        <r>
          <rPr>
            <b/>
            <sz val="9"/>
            <color indexed="81"/>
            <rFont val="Tahoma"/>
            <family val="2"/>
          </rPr>
          <t>Kapa Adapter concnetration to be used.  1.5 µL is genertally used for old RNA-Seq workflows whereas some RNA Hyper workflows will require the 30 µM versions</t>
        </r>
      </text>
    </comment>
    <comment ref="J34" authorId="0">
      <text>
        <r>
          <rPr>
            <b/>
            <sz val="9"/>
            <color indexed="81"/>
            <rFont val="Tahoma"/>
            <family val="2"/>
          </rPr>
          <t>Kapa Adapter concnetration to be used.  1.5 µL is genertally used for old RNA-Seq workflows whereas some RNA Hyper workflows will require the 30 µM versions</t>
        </r>
      </text>
    </comment>
    <comment ref="L34" authorId="0">
      <text>
        <r>
          <rPr>
            <b/>
            <sz val="9"/>
            <color indexed="81"/>
            <rFont val="Tahoma"/>
            <family val="2"/>
          </rPr>
          <t>Kapa Adapter concnetration to be used.  1.5 µL is genertally used for old RNA-Seq workflows whereas some RNA Hyper workflows will require the 30 µM versions</t>
        </r>
      </text>
    </comment>
    <comment ref="B35" authorId="0">
      <text>
        <r>
          <rPr>
            <b/>
            <sz val="9"/>
            <color indexed="81"/>
            <rFont val="Tahoma"/>
            <family val="2"/>
          </rPr>
          <t>How much the KAPA adapter will be required to be diluted when performing Library Preperation</t>
        </r>
      </text>
    </comment>
    <comment ref="D35" authorId="0">
      <text>
        <r>
          <rPr>
            <b/>
            <sz val="9"/>
            <color indexed="81"/>
            <rFont val="Tahoma"/>
            <family val="2"/>
          </rPr>
          <t>How much the KAPA adapter will be required to be diluted when performing Library Preperation</t>
        </r>
      </text>
    </comment>
    <comment ref="F35" authorId="0">
      <text>
        <r>
          <rPr>
            <b/>
            <sz val="9"/>
            <color indexed="81"/>
            <rFont val="Tahoma"/>
            <family val="2"/>
          </rPr>
          <t>How much the KAPA adapter will be required to be diluted when performing Library Preperation</t>
        </r>
      </text>
    </comment>
    <comment ref="H35" authorId="0">
      <text>
        <r>
          <rPr>
            <b/>
            <sz val="9"/>
            <color indexed="81"/>
            <rFont val="Tahoma"/>
            <family val="2"/>
          </rPr>
          <t>How much the KAPA adapter will be required to be diluted when performing Library Preperation</t>
        </r>
      </text>
    </comment>
    <comment ref="J35" authorId="0">
      <text>
        <r>
          <rPr>
            <b/>
            <sz val="9"/>
            <color indexed="81"/>
            <rFont val="Tahoma"/>
            <family val="2"/>
          </rPr>
          <t>How much the KAPA adapter will be required to be diluted when performing Library Preperation</t>
        </r>
      </text>
    </comment>
    <comment ref="L35" authorId="0">
      <text>
        <r>
          <rPr>
            <b/>
            <sz val="9"/>
            <color indexed="81"/>
            <rFont val="Tahoma"/>
            <family val="2"/>
          </rPr>
          <t>How much the KAPA adapter will be required to be diluted when performing Library Preperation</t>
        </r>
      </text>
    </comment>
    <comment ref="B36"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D36"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F36"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H36"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J36"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L36"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B37" authorId="0">
      <text>
        <r>
          <rPr>
            <b/>
            <sz val="9"/>
            <color indexed="81"/>
            <rFont val="Tahoma"/>
            <family val="2"/>
          </rPr>
          <t xml:space="preserve">Total number of lbraries able to be made from both sets of Kapa Adapters at the concntration indicated </t>
        </r>
      </text>
    </comment>
    <comment ref="D37" authorId="0">
      <text>
        <r>
          <rPr>
            <b/>
            <sz val="9"/>
            <color indexed="81"/>
            <rFont val="Tahoma"/>
            <family val="2"/>
          </rPr>
          <t xml:space="preserve">Total number of lbraries able to be made from both sets of Kapa Adapters at the concntration indicated </t>
        </r>
      </text>
    </comment>
    <comment ref="F37" authorId="0">
      <text>
        <r>
          <rPr>
            <b/>
            <sz val="9"/>
            <color indexed="81"/>
            <rFont val="Tahoma"/>
            <family val="2"/>
          </rPr>
          <t xml:space="preserve">Total number of lbraries able to be made from both sets of Kapa Adapters at the concntration indicated </t>
        </r>
      </text>
    </comment>
    <comment ref="H37" authorId="0">
      <text>
        <r>
          <rPr>
            <b/>
            <sz val="9"/>
            <color indexed="81"/>
            <rFont val="Tahoma"/>
            <family val="2"/>
          </rPr>
          <t xml:space="preserve">Total number of lbraries able to be made from both sets of Kapa Adapters at the concntration indicated </t>
        </r>
      </text>
    </comment>
    <comment ref="J37" authorId="0">
      <text>
        <r>
          <rPr>
            <b/>
            <sz val="9"/>
            <color indexed="81"/>
            <rFont val="Tahoma"/>
            <family val="2"/>
          </rPr>
          <t xml:space="preserve">Total number of lbraries able to be made from both sets of Kapa Adapters at the concntration indicated </t>
        </r>
      </text>
    </comment>
    <comment ref="L37" authorId="0">
      <text>
        <r>
          <rPr>
            <b/>
            <sz val="9"/>
            <color indexed="81"/>
            <rFont val="Tahoma"/>
            <family val="2"/>
          </rPr>
          <t xml:space="preserve">Total number of lbraries able to be made from both sets of Kapa Adapters at the concntration indicated </t>
        </r>
      </text>
    </comment>
  </commentList>
</comments>
</file>

<file path=xl/comments3.xml><?xml version="1.0" encoding="utf-8"?>
<comments xmlns="http://schemas.openxmlformats.org/spreadsheetml/2006/main">
  <authors>
    <author>Sogoloff, Brian {DNAA~Wilmington}</author>
  </authors>
  <commentList>
    <comment ref="D10" authorId="0">
      <text>
        <r>
          <rPr>
            <b/>
            <sz val="9"/>
            <color indexed="81"/>
            <rFont val="Tahoma"/>
            <family val="2"/>
          </rPr>
          <t>This value is necessary to determine the number of beads require if performing a post shearing cleanup.  Typical covaris values are 50 or 130 µL</t>
        </r>
      </text>
    </comment>
    <comment ref="H10" authorId="0">
      <text>
        <r>
          <rPr>
            <b/>
            <sz val="9"/>
            <color indexed="81"/>
            <rFont val="Tahoma"/>
            <family val="2"/>
          </rPr>
          <t>This value is necessary to determine the number of beads require if performing a post shearing cleanup.  Typical covaris values are 50 or 130 µL</t>
        </r>
      </text>
    </comment>
    <comment ref="D11" authorId="0">
      <text>
        <r>
          <rPr>
            <b/>
            <sz val="9"/>
            <color indexed="81"/>
            <rFont val="Tahoma"/>
            <family val="2"/>
          </rPr>
          <t xml:space="preserve">A post shearing cleanup may be required if the shearing was performed in a buffer containing EDTA, which will inhibit the downstream reactions, or if the volume is too large and needs to be concentrated. </t>
        </r>
      </text>
    </comment>
    <comment ref="H11" authorId="0">
      <text>
        <r>
          <rPr>
            <b/>
            <sz val="9"/>
            <color indexed="81"/>
            <rFont val="Tahoma"/>
            <family val="2"/>
          </rPr>
          <t xml:space="preserve">A post shearing cleanup may be required if the shearing was performed in a buffer containing EDTA, which will inhibit the downstream reactions, or if the volume is too large and needs to be concentrated. </t>
        </r>
      </text>
    </comment>
    <comment ref="D12" authorId="0">
      <text>
        <r>
          <rPr>
            <b/>
            <sz val="9"/>
            <color indexed="81"/>
            <rFont val="Tahoma"/>
            <family val="2"/>
          </rPr>
          <t>A 3X volumetric ratio safely retains all material and is our recommendation for shearing or genomic cleanup</t>
        </r>
      </text>
    </comment>
    <comment ref="H12" authorId="0">
      <text>
        <r>
          <rPr>
            <b/>
            <sz val="9"/>
            <color indexed="81"/>
            <rFont val="Tahoma"/>
            <family val="2"/>
          </rPr>
          <t>A 3X volumetric ratio safely retains all material and is our recommendation for shearing or genomic cleanup</t>
        </r>
      </text>
    </comment>
    <comment ref="B13" authorId="0">
      <text>
        <r>
          <rPr>
            <b/>
            <sz val="9"/>
            <color indexed="81"/>
            <rFont val="Tahoma"/>
            <family val="2"/>
          </rPr>
          <t>Capture protocols recommend a size selection post-ligation   
Size Selection is suggested not necessarily required depending on input material size and quantity.  
Capture samples that have not undergone size selection tend to lead to higher off target rates</t>
        </r>
      </text>
    </comment>
    <comment ref="D13" authorId="0">
      <text>
        <r>
          <rPr>
            <b/>
            <sz val="9"/>
            <color indexed="81"/>
            <rFont val="Tahoma"/>
            <family val="2"/>
          </rPr>
          <t>Capture protocols recommend a size selection post-ligation   
Size Selection is suggested not necessarily required depending on input material size and quantity.  
Capture samples that have not undergone size selection tend to lead to higher off target rates</t>
        </r>
      </text>
    </comment>
    <comment ref="F13" authorId="0">
      <text>
        <r>
          <rPr>
            <b/>
            <sz val="9"/>
            <color indexed="81"/>
            <rFont val="Tahoma"/>
            <family val="2"/>
          </rPr>
          <t>Capture protocols recommend a size selection post-ligation   
Size Selection is suggested not necessarily required depending on input material size and quantity.  
Capture samples that have not undergone size selection tend to lead to higher off target rates</t>
        </r>
      </text>
    </comment>
    <comment ref="H13" authorId="0">
      <text>
        <r>
          <rPr>
            <b/>
            <sz val="9"/>
            <color indexed="81"/>
            <rFont val="Tahoma"/>
            <family val="2"/>
          </rPr>
          <t>Capture protocols recommend a size selection post-ligation   
Size Selection is suggested not necessarily required depending on input material size and quantity.  
Capture samples that have not undergone size selection tend to lead to higher off target rates</t>
        </r>
      </text>
    </comment>
    <comment ref="B14" authorId="0">
      <text>
        <r>
          <rPr>
            <b/>
            <sz val="9"/>
            <color indexed="81"/>
            <rFont val="Tahoma"/>
            <family val="2"/>
          </rPr>
          <t>This value is the first volumetric bead to sample ratio.  At this step, material larger than desired upper threshold is bound and removed.
Approximate ratio sizes:
0.4 &lt; 750 bp
0.5 &lt; 650 bp
0.6 &lt; 550 bp
0.7 &lt; 450 bp
0.8 &lt; 350 bp
0.9 &lt; 250 bp</t>
        </r>
      </text>
    </comment>
    <comment ref="D14" authorId="0">
      <text>
        <r>
          <rPr>
            <b/>
            <sz val="9"/>
            <color indexed="81"/>
            <rFont val="Tahoma"/>
            <family val="2"/>
          </rPr>
          <t>This value is the first volumetric bead to sample ratio.  At this step, material larger than desired upper threshold is bound and removed.
Approximate ratio sizes:
0.4 &lt; 750 bp
0.5 &lt; 650 bp
0.6 &lt; 550 bp
0.7 &lt; 450 bp
0.8 &lt; 350 bp
0.9 &lt; 250 bp</t>
        </r>
      </text>
    </comment>
    <comment ref="F14" authorId="0">
      <text>
        <r>
          <rPr>
            <b/>
            <sz val="9"/>
            <color indexed="81"/>
            <rFont val="Tahoma"/>
            <family val="2"/>
          </rPr>
          <t>This value is the first volumetric bead to sample ratio.  At this step, material larger than desired upper threshold is bound and removed.
Approximate ratio sizes:
0.4 &lt; 750 bp
0.5 &lt; 650 bp
0.6 &lt; 550 bp
0.7 &lt; 450 bp
0.8 &lt; 350 bp
0.9 &lt; 250 bp</t>
        </r>
      </text>
    </comment>
    <comment ref="H14" authorId="0">
      <text>
        <r>
          <rPr>
            <b/>
            <sz val="9"/>
            <color indexed="81"/>
            <rFont val="Tahoma"/>
            <family val="2"/>
          </rPr>
          <t>This value is the first volumetric bead to sample ratio.  At this step, material larger than desired upper threshold is bound and removed.
Approximate ratio sizes:
0.4 &lt; 750 bp
0.5 &lt; 650 bp
0.6 &lt; 550 bp
0.7 &lt; 450 bp
0.8 &lt; 350 bp
0.9 &lt; 250 bp</t>
        </r>
      </text>
    </comment>
    <comment ref="B15" authorId="0">
      <text>
        <r>
          <rPr>
            <b/>
            <sz val="9"/>
            <color indexed="81"/>
            <rFont val="Tahoma"/>
            <family val="2"/>
          </rPr>
          <t xml:space="preserve">This value is the second and final volumetric ratio of PEG/bead to sample.  Remaining material, smaller than the first selection, but greater than lower desired size threshold is bound and kept for future processing.  
The spacing between the two ratios should always be at least 0.2 to avoid sample loss.  Differences greater than 0.2 can result in broad distributions.
Approximate size ratios:
0.6 &gt; 550 bp
0.7 &gt; 450 bp
0.8 &gt; 350 bp
0.9 &gt; 250 bp
1.0 &gt; 150 bp
</t>
        </r>
      </text>
    </comment>
    <comment ref="D15" authorId="0">
      <text>
        <r>
          <rPr>
            <b/>
            <sz val="9"/>
            <color indexed="81"/>
            <rFont val="Tahoma"/>
            <family val="2"/>
          </rPr>
          <t>This value is the second and final volumetric ratio of PEG/bead to sample.  Remaining material, smaller than the first selection, but greater than lower desired size threshold is bound and kept for future processing.  
The spacing between the two ratios should always be at least 0.2 to avoid sample loss.  Differences greater than 0.2 can result in broad distributions.
Approximate size ratios:
0.6 &gt; 550 bp
0.7 &gt; 450 bp
0.8 &gt; 350 bp
0.9 &gt; 250 bp
1.0 &gt; 150 bp</t>
        </r>
      </text>
    </comment>
    <comment ref="F15" authorId="0">
      <text>
        <r>
          <rPr>
            <b/>
            <sz val="9"/>
            <color indexed="81"/>
            <rFont val="Tahoma"/>
            <family val="2"/>
          </rPr>
          <t>This value is the second and final volumetric ratio of PEG/bead to sample.  Remaining material, smaller than the first selection, but greater than lower desired size threshold is bound and kept for future processing.  
The spacing between the two ratios should always be at least 0.2 to avoid sample loss.  Differences greater than 0.2 can result in broad distributions.
Approximate size ratios:
0.6 &gt; 550 bp
0.7 &gt; 450 bp
0.8 &gt; 350 bp
0.9 &gt; 250 bp
1.0 &gt; 150 bp</t>
        </r>
      </text>
    </comment>
    <comment ref="H15" authorId="0">
      <text>
        <r>
          <rPr>
            <b/>
            <sz val="9"/>
            <color indexed="81"/>
            <rFont val="Tahoma"/>
            <family val="2"/>
          </rPr>
          <t>This value is the second and final volumetric ratio of PEG/bead to sample.  Remaining material, smaller than the first selection, but greater than lower desired size threshold is bound and kept for future processing.  
The spacing between the two ratios should always be at least 0.2 to avoid sample loss.  Differences greater than 0.2 can result in broad distributions.
Approximate size ratios:
0.6 &gt; 550 bp
0.7 &gt; 450 bp
0.8 &gt; 350 bp
0.9 &gt; 250 bp
1.0 &gt; 150 bp</t>
        </r>
      </text>
    </comment>
    <comment ref="B16" authorId="0">
      <text>
        <r>
          <rPr>
            <b/>
            <sz val="9"/>
            <color indexed="81"/>
            <rFont val="Tahoma"/>
            <family val="2"/>
          </rPr>
          <t>Most applications involve a PCR before capture to achieve 1 µg of total material into the reaction.  
It is possible to have PCR-free library into capture however starting input and multiplexing options must be consisdered</t>
        </r>
      </text>
    </comment>
    <comment ref="D16" authorId="0">
      <text>
        <r>
          <rPr>
            <b/>
            <sz val="9"/>
            <color indexed="81"/>
            <rFont val="Tahoma"/>
            <family val="2"/>
          </rPr>
          <t>Most applications involve a PCR before capture to achieve 1 µg of total material into the reaction.  
It is possible to have PCR-free library into capture however starting input and multiplexing options must be consisdered</t>
        </r>
      </text>
    </comment>
    <comment ref="F16" authorId="0">
      <text>
        <r>
          <rPr>
            <b/>
            <sz val="9"/>
            <color indexed="81"/>
            <rFont val="Tahoma"/>
            <family val="2"/>
          </rPr>
          <t>Most applications involve a PCR before capture to achieve 1 µg of total material into the reaction.  
It is possible to have PCR-free library into capture however starting input and multiplexing options must be consisdered</t>
        </r>
      </text>
    </comment>
    <comment ref="H16" authorId="0">
      <text>
        <r>
          <rPr>
            <b/>
            <sz val="9"/>
            <color indexed="81"/>
            <rFont val="Tahoma"/>
            <family val="2"/>
          </rPr>
          <t>Most applications involve a PCR before capture to achieve 1 µg of total material into the reaction.  
It is possible to have PCR-free library into capture however starting input and multiplexing options must be consisdered</t>
        </r>
      </text>
    </comment>
    <comment ref="B17" authorId="0">
      <text>
        <r>
          <rPr>
            <b/>
            <sz val="9"/>
            <color indexed="81"/>
            <rFont val="Tahoma"/>
            <family val="2"/>
          </rPr>
          <t>Due to the loss during cature a post capture amplification is nearly always needed</t>
        </r>
      </text>
    </comment>
    <comment ref="D17" authorId="0">
      <text>
        <r>
          <rPr>
            <b/>
            <sz val="9"/>
            <color indexed="81"/>
            <rFont val="Tahoma"/>
            <family val="2"/>
          </rPr>
          <t>Due to the loss during cature a post capture amplification is nearly always needed</t>
        </r>
      </text>
    </comment>
    <comment ref="F17" authorId="0">
      <text>
        <r>
          <rPr>
            <b/>
            <sz val="9"/>
            <color indexed="81"/>
            <rFont val="Tahoma"/>
            <family val="2"/>
          </rPr>
          <t>Due to the loss during cature a post capture amplification is nearly always needed</t>
        </r>
      </text>
    </comment>
    <comment ref="H17" authorId="0">
      <text>
        <r>
          <rPr>
            <b/>
            <sz val="9"/>
            <color indexed="81"/>
            <rFont val="Tahoma"/>
            <family val="2"/>
          </rPr>
          <t>Due to the loss during cature a post capture amplification is nearly always needed</t>
        </r>
      </text>
    </comment>
    <comment ref="A23" authorId="0">
      <text>
        <r>
          <rPr>
            <b/>
            <sz val="9"/>
            <color indexed="81"/>
            <rFont val="Tahoma"/>
            <family val="2"/>
          </rPr>
          <t>Beads Required for capture cleanup are provided with the Hyb and Wash Kit</t>
        </r>
      </text>
    </comment>
    <comment ref="B32" authorId="0">
      <text>
        <r>
          <rPr>
            <b/>
            <sz val="9"/>
            <color indexed="81"/>
            <rFont val="Tahoma"/>
            <family val="2"/>
          </rPr>
          <t xml:space="preserve">Input amount affects the ratio of adapter to insert.  At higher amounts, at 15 µM stock represents a good compormise of efficiency vs price.  At lower amounts, a 200:1 ratio generally optimizes yield </t>
        </r>
      </text>
    </comment>
    <comment ref="E32" authorId="0">
      <text>
        <r>
          <rPr>
            <b/>
            <sz val="9"/>
            <color indexed="81"/>
            <rFont val="Tahoma"/>
            <family val="2"/>
          </rPr>
          <t>With both kits, low-input and challenging samples may benefit from higher adapter:insert molar ratios. Refer to Important Parameters in your TDS for details.</t>
        </r>
      </text>
    </comment>
    <comment ref="B45" authorId="0">
      <text>
        <r>
          <rPr>
            <b/>
            <sz val="9"/>
            <color indexed="81"/>
            <rFont val="Tahoma"/>
            <family val="2"/>
          </rPr>
          <t>Input into Library Preperation in ng</t>
        </r>
      </text>
    </comment>
    <comment ref="D45" authorId="0">
      <text>
        <r>
          <rPr>
            <b/>
            <sz val="9"/>
            <color indexed="81"/>
            <rFont val="Tahoma"/>
            <family val="2"/>
          </rPr>
          <t>Input into Library Preperation in ng</t>
        </r>
      </text>
    </comment>
    <comment ref="B46" authorId="0">
      <text>
        <r>
          <rPr>
            <b/>
            <sz val="9"/>
            <color indexed="81"/>
            <rFont val="Tahoma"/>
            <family val="2"/>
          </rPr>
          <t>The size of the insert affects the molarity of the sample and the true ratio of adapter:insert.  A larger mean fragment length results in less "ends" per amount of material and therefore less adapter required to maintain and optimal ratio.</t>
        </r>
      </text>
    </comment>
    <comment ref="D46" authorId="0">
      <text>
        <r>
          <rPr>
            <b/>
            <sz val="9"/>
            <color indexed="81"/>
            <rFont val="Tahoma"/>
            <family val="2"/>
          </rPr>
          <t>The size of the insert affects the molarity of the sample and the true ratio of adapter:insert.  A larger mean fragment length results in less "ends" per amount of material and therefore less adapter required to maintain and optimal ratio.</t>
        </r>
      </text>
    </comment>
    <comment ref="B48" authorId="0">
      <text>
        <r>
          <rPr>
            <b/>
            <sz val="9"/>
            <color indexed="81"/>
            <rFont val="Tahoma"/>
            <family val="2"/>
          </rPr>
          <t xml:space="preserve">Recommended ratios are in the above table.  A higher ratio can result in increased yield especially for low input or challenging samples but should be attempted alongside the standard recommendation.  </t>
        </r>
      </text>
    </comment>
    <comment ref="D48" authorId="0">
      <text>
        <r>
          <rPr>
            <b/>
            <sz val="9"/>
            <color indexed="81"/>
            <rFont val="Tahoma"/>
            <family val="2"/>
          </rPr>
          <t xml:space="preserve">Recommended ratios are in the above table.  A higher ratio can result in increased yield especially for low input or challenging samples but should be attempted alongside the standard recommendation.  </t>
        </r>
      </text>
    </comment>
    <comment ref="B50" authorId="0">
      <text>
        <r>
          <rPr>
            <b/>
            <sz val="9"/>
            <color indexed="81"/>
            <rFont val="Tahoma"/>
            <family val="2"/>
          </rPr>
          <t xml:space="preserve">The default value is 5 µL into the ligation reaction.  It is possible to increase this volume to 10 µL which effectively doubles the ratio and can be useful for high inputs or low adapter stocks.  </t>
        </r>
      </text>
    </comment>
    <comment ref="D50" authorId="0">
      <text>
        <r>
          <rPr>
            <b/>
            <sz val="9"/>
            <color indexed="81"/>
            <rFont val="Tahoma"/>
            <family val="2"/>
          </rPr>
          <t>The default value is 5 µL into the ligation reaction.  It is possible to increase this volume to 10 µL which effectively doubles the ratio and can be useful for high inputs or low adapter stocks.</t>
        </r>
      </text>
    </comment>
    <comment ref="B51" authorId="0">
      <text>
        <r>
          <rPr>
            <b/>
            <sz val="9"/>
            <color indexed="81"/>
            <rFont val="Tahoma"/>
            <family val="2"/>
          </rPr>
          <t>This value represents what the customer will be using into their workflow.  It should match the expected value in the above table</t>
        </r>
      </text>
    </comment>
    <comment ref="D51" authorId="0">
      <text>
        <r>
          <rPr>
            <b/>
            <sz val="9"/>
            <color indexed="81"/>
            <rFont val="Tahoma"/>
            <family val="2"/>
          </rPr>
          <t>This value represents what the customer will be using into their workflow.  It should match the expected value in the above table</t>
        </r>
      </text>
    </comment>
    <comment ref="B52" authorId="0">
      <text>
        <r>
          <rPr>
            <b/>
            <sz val="9"/>
            <color indexed="81"/>
            <rFont val="Tahoma"/>
            <family val="2"/>
          </rPr>
          <t>Kapa Adapters come in 30 µM and 1.5 µM concentrations.  Overall use should be considered.  Adapters can always be diluted down but there is a limit on samples able to processed with lower concentration adapters</t>
        </r>
      </text>
    </comment>
    <comment ref="D52" authorId="0">
      <text>
        <r>
          <rPr>
            <b/>
            <sz val="9"/>
            <color indexed="81"/>
            <rFont val="Tahoma"/>
            <family val="2"/>
          </rPr>
          <t>Kapa Adapters come in 30 µM and 1.5 µM concentrations.  Overall use should be considered.  Adapters can always be diluted down but there is a limit on samples able to processed with lower concentration adapters</t>
        </r>
      </text>
    </comment>
    <comment ref="B53" authorId="0">
      <text>
        <r>
          <rPr>
            <b/>
            <sz val="9"/>
            <color indexed="81"/>
            <rFont val="Tahoma"/>
            <family val="2"/>
          </rPr>
          <t>What dilution factor the adapters should undergo</t>
        </r>
      </text>
    </comment>
    <comment ref="D53" authorId="0">
      <text>
        <r>
          <rPr>
            <b/>
            <sz val="9"/>
            <color indexed="81"/>
            <rFont val="Tahoma"/>
            <family val="2"/>
          </rPr>
          <t>What dilution factor the adapters should undergo</t>
        </r>
      </text>
    </comment>
    <comment ref="B54"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D54"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B55" authorId="0">
      <text>
        <r>
          <rPr>
            <b/>
            <sz val="9"/>
            <color indexed="81"/>
            <rFont val="Tahoma"/>
            <family val="2"/>
          </rPr>
          <t xml:space="preserve">Total number of lbraries able to be made from both sets of Kapa Adapters at the concentration indicated </t>
        </r>
      </text>
    </comment>
    <comment ref="D55" authorId="0">
      <text>
        <r>
          <rPr>
            <b/>
            <sz val="9"/>
            <color indexed="81"/>
            <rFont val="Tahoma"/>
            <family val="2"/>
          </rPr>
          <t xml:space="preserve">Total number of lbraries able to be made from both sets of Kapa Adapters at the concentration indicated </t>
        </r>
      </text>
    </comment>
    <comment ref="B56" authorId="0">
      <text>
        <r>
          <rPr>
            <b/>
            <sz val="9"/>
            <color indexed="81"/>
            <rFont val="Tahoma"/>
            <family val="2"/>
          </rPr>
          <t xml:space="preserve">Total number of lbraries able to be made from one set of Kapa Adapters at the concentration indicated </t>
        </r>
      </text>
    </comment>
    <comment ref="D56" authorId="0">
      <text>
        <r>
          <rPr>
            <b/>
            <sz val="9"/>
            <color indexed="81"/>
            <rFont val="Tahoma"/>
            <family val="2"/>
          </rPr>
          <t xml:space="preserve">Total number of lbraries able to be made from one set of Kapa Adapters at the concentration indicated </t>
        </r>
      </text>
    </comment>
    <comment ref="B64" authorId="0">
      <text>
        <r>
          <rPr>
            <b/>
            <sz val="9"/>
            <color indexed="81"/>
            <rFont val="Tahoma"/>
            <family val="2"/>
          </rPr>
          <t>Input into Library Preperation in ng</t>
        </r>
      </text>
    </comment>
    <comment ref="D64" authorId="0">
      <text>
        <r>
          <rPr>
            <b/>
            <sz val="9"/>
            <color indexed="81"/>
            <rFont val="Tahoma"/>
            <family val="2"/>
          </rPr>
          <t>Input into Library Preperation in ng</t>
        </r>
      </text>
    </comment>
    <comment ref="B65" authorId="0">
      <text>
        <r>
          <rPr>
            <b/>
            <sz val="9"/>
            <color indexed="81"/>
            <rFont val="Tahoma"/>
            <family val="2"/>
          </rPr>
          <t>The size of the insert affects the molarity of the sample and the true ratio of adapter:insert.  A larger mean fragment length results in less "ends" per amount of material and therefore less adapter required to maintain and optimal ratio.</t>
        </r>
      </text>
    </comment>
    <comment ref="D65" authorId="0">
      <text>
        <r>
          <rPr>
            <b/>
            <sz val="9"/>
            <color indexed="81"/>
            <rFont val="Tahoma"/>
            <family val="2"/>
          </rPr>
          <t>The size of the insert affects the molarity of the sample and the true ratio of adapter:insert.  A larger mean fragment length results in less "ends" per amount of material and therefore less adapter required to maintain and optimal ratio.</t>
        </r>
      </text>
    </comment>
    <comment ref="B67" authorId="0">
      <text>
        <r>
          <rPr>
            <b/>
            <sz val="9"/>
            <color indexed="81"/>
            <rFont val="Tahoma"/>
            <family val="2"/>
          </rPr>
          <t xml:space="preserve">Recommended ratios are in the above table.  A higher ratio can result in increased yield especially for low input or challenging samples but should be attempted alongside the standard recommendation.  </t>
        </r>
      </text>
    </comment>
    <comment ref="D67" authorId="0">
      <text>
        <r>
          <rPr>
            <b/>
            <sz val="9"/>
            <color indexed="81"/>
            <rFont val="Tahoma"/>
            <family val="2"/>
          </rPr>
          <t xml:space="preserve">Recommended ratios are in the above table.  A higher ratio can result in increased yield especially for low input or challenging samples but should be attempted alongside the standard recommendation.  </t>
        </r>
      </text>
    </comment>
    <comment ref="B69" authorId="0">
      <text>
        <r>
          <rPr>
            <b/>
            <sz val="9"/>
            <color indexed="81"/>
            <rFont val="Tahoma"/>
            <family val="2"/>
          </rPr>
          <t xml:space="preserve">The default value is 5 µL into the ligation reaction.  It is possible to increase this volume to 10 µL which effectively doubles the ratio and can be useful for high inputs or low adapter stocks.  </t>
        </r>
      </text>
    </comment>
    <comment ref="D69" authorId="0">
      <text>
        <r>
          <rPr>
            <b/>
            <sz val="9"/>
            <color indexed="81"/>
            <rFont val="Tahoma"/>
            <family val="2"/>
          </rPr>
          <t>The default value is 5 µL into the ligation reaction.  It is possible to increase this volume to 10 µL which effectively doubles the ratio and can be useful for high inputs or low adapter stocks.</t>
        </r>
      </text>
    </comment>
    <comment ref="B70" authorId="0">
      <text>
        <r>
          <rPr>
            <b/>
            <sz val="9"/>
            <color indexed="81"/>
            <rFont val="Tahoma"/>
            <family val="2"/>
          </rPr>
          <t>This value represents what the customer will be using into their workflow.  It should match the expected value in the above table</t>
        </r>
      </text>
    </comment>
    <comment ref="D70" authorId="0">
      <text>
        <r>
          <rPr>
            <b/>
            <sz val="9"/>
            <color indexed="81"/>
            <rFont val="Tahoma"/>
            <family val="2"/>
          </rPr>
          <t>This value represents what the customer will be using into their workflow.  It should match the expected value in the above table</t>
        </r>
      </text>
    </comment>
    <comment ref="B71" authorId="0">
      <text>
        <r>
          <rPr>
            <b/>
            <sz val="9"/>
            <color indexed="81"/>
            <rFont val="Tahoma"/>
            <family val="2"/>
          </rPr>
          <t>Kapa Adapters come in 30 µM and 1.5 µM concentrations.  Overall use should be considered.  Adapters can always be diluted down but there is a limit on samples able to processed with lower concentration adapters</t>
        </r>
      </text>
    </comment>
    <comment ref="D71" authorId="0">
      <text>
        <r>
          <rPr>
            <b/>
            <sz val="9"/>
            <color indexed="81"/>
            <rFont val="Tahoma"/>
            <family val="2"/>
          </rPr>
          <t>Kapa Adapters come in 30 µM and 1.5 µM concentrations.  Overall use should be considered.  Adapters can always be diluted down but there is a limit on samples able to processed with lower concentration adapters</t>
        </r>
      </text>
    </comment>
    <comment ref="B72" authorId="0">
      <text>
        <r>
          <rPr>
            <b/>
            <sz val="9"/>
            <color indexed="81"/>
            <rFont val="Tahoma"/>
            <family val="2"/>
          </rPr>
          <t>What dilution factor the adapters should undergo</t>
        </r>
      </text>
    </comment>
    <comment ref="D72" authorId="0">
      <text>
        <r>
          <rPr>
            <b/>
            <sz val="9"/>
            <color indexed="81"/>
            <rFont val="Tahoma"/>
            <family val="2"/>
          </rPr>
          <t>What dilution factor the adapters should undergo</t>
        </r>
      </text>
    </comment>
    <comment ref="B73"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D73" authorId="0">
      <text>
        <r>
          <rPr>
            <b/>
            <sz val="9"/>
            <color indexed="81"/>
            <rFont val="Tahoma"/>
            <family val="2"/>
          </rPr>
          <t xml:space="preserve">How many libraries can be made per index based on the presumed input and volumes of adapter stocks.  Assumes the customer dilutes accordingly and does not waste stock.  </t>
        </r>
      </text>
    </comment>
    <comment ref="B74" authorId="0">
      <text>
        <r>
          <rPr>
            <b/>
            <sz val="9"/>
            <color indexed="81"/>
            <rFont val="Tahoma"/>
            <family val="2"/>
          </rPr>
          <t xml:space="preserve">Total number of lbraries able to be made from both sets of Kapa Adapters at the concentration indicated </t>
        </r>
      </text>
    </comment>
    <comment ref="D74" authorId="0">
      <text>
        <r>
          <rPr>
            <b/>
            <sz val="9"/>
            <color indexed="81"/>
            <rFont val="Tahoma"/>
            <family val="2"/>
          </rPr>
          <t xml:space="preserve">Total number of lbraries able to be made from both sets of Kapa Adapters at the concentration indicated </t>
        </r>
      </text>
    </comment>
  </commentList>
</comments>
</file>

<file path=xl/sharedStrings.xml><?xml version="1.0" encoding="utf-8"?>
<sst xmlns="http://schemas.openxmlformats.org/spreadsheetml/2006/main" count="338" uniqueCount="156">
  <si>
    <t xml:space="preserve">Important Notes:  </t>
  </si>
  <si>
    <t>Size Selection cut 1 (enter value):</t>
  </si>
  <si>
    <t>Size Selection cut 2 (enter value):</t>
  </si>
  <si>
    <t>Amplification</t>
  </si>
  <si>
    <t xml:space="preserve">Beads per sample </t>
  </si>
  <si>
    <t>Size selection</t>
  </si>
  <si>
    <t>Total</t>
  </si>
  <si>
    <t>Shearing</t>
  </si>
  <si>
    <t>Ligation</t>
  </si>
  <si>
    <t>*Beads should be equilibrated to room temperature and mixed thoroughly before use.</t>
  </si>
  <si>
    <t>Yes</t>
  </si>
  <si>
    <t>*Beads and DNA should be fully mixed and homogenous</t>
  </si>
  <si>
    <t>Not Performed</t>
  </si>
  <si>
    <t>No</t>
  </si>
  <si>
    <t>If Yes, what X bead cleanup? (enter value)</t>
  </si>
  <si>
    <t>1. Number of samples (enter value):</t>
  </si>
  <si>
    <t>2. Volume sheared in (enter value):</t>
  </si>
  <si>
    <t xml:space="preserve">3. Are you performing concentration after shearing? </t>
  </si>
  <si>
    <t>4. At what point is Size Selection being performed?</t>
  </si>
  <si>
    <t>Capture</t>
  </si>
  <si>
    <t>Total Beads Required (10% excess) mL</t>
  </si>
  <si>
    <t>Amplification Cleanup</t>
  </si>
  <si>
    <t>Pre-Capture Amplification Cleanup</t>
  </si>
  <si>
    <t>Core Library Construction</t>
  </si>
  <si>
    <t>Post-Capture Amplification Cleanup</t>
  </si>
  <si>
    <t>Bead Calculations for KAPA RNA Library Construction</t>
  </si>
  <si>
    <t>Bead Calculations for KAPA DNA Library Construction</t>
  </si>
  <si>
    <t>Input into library construction</t>
  </si>
  <si>
    <t>Adapter Stock Concentration to use</t>
  </si>
  <si>
    <t>Dilution factor (X)</t>
  </si>
  <si>
    <t>Number of libraries per index</t>
  </si>
  <si>
    <t>KAPA Single-Indexed Adapter Concentration to use (µM)</t>
  </si>
  <si>
    <t>Number of samples (enter value):</t>
  </si>
  <si>
    <t>High Quality</t>
  </si>
  <si>
    <t xml:space="preserve">Low Quality </t>
  </si>
  <si>
    <t>*Adapters should only be diluted in provided Dilution Buffer</t>
  </si>
  <si>
    <t>*Do not store at concnetrations below 1.5 µM</t>
  </si>
  <si>
    <t>Mode size of fragmented DNA</t>
  </si>
  <si>
    <t>Moles of insert DNA</t>
  </si>
  <si>
    <t>pmol</t>
  </si>
  <si>
    <t>Adapter:insert molar ratio</t>
  </si>
  <si>
    <t>Moles of adapter needed per library</t>
  </si>
  <si>
    <t>Volume of Adapter to use per ligation reaction</t>
  </si>
  <si>
    <t>Dilution factor</t>
  </si>
  <si>
    <t>Volume of Adapter used per ligation reaction</t>
  </si>
  <si>
    <t>Moles of adapter used</t>
  </si>
  <si>
    <t>10:1</t>
  </si>
  <si>
    <t>20:1</t>
  </si>
  <si>
    <t>40:1</t>
  </si>
  <si>
    <t>100:1</t>
  </si>
  <si>
    <t>200:1</t>
  </si>
  <si>
    <t>Ratio Adapter:Template</t>
  </si>
  <si>
    <t>Input (ng)</t>
  </si>
  <si>
    <t>Adapter Stock Concentration (µM)</t>
  </si>
  <si>
    <t>Adapter (µM)</t>
  </si>
  <si>
    <t xml:space="preserve">Fragment Size (bp) </t>
  </si>
  <si>
    <t>3000-5000</t>
  </si>
  <si>
    <t>Adapter Calculations for KAPA DNA Library Construction</t>
  </si>
  <si>
    <t>For HyperCap protocols the SeqCap Adapters are recommended</t>
  </si>
  <si>
    <t xml:space="preserve">SeqCap Adapter Kit A - 07 141 530 001 </t>
  </si>
  <si>
    <t>SeqCap Adapter Kit B - 07 141 548 001</t>
  </si>
  <si>
    <r>
      <t xml:space="preserve">Total number of libraries with Set A + B </t>
    </r>
    <r>
      <rPr>
        <sz val="11"/>
        <color theme="1"/>
        <rFont val="Calibri"/>
        <family val="2"/>
        <scheme val="minor"/>
      </rPr>
      <t>(24 adapters)</t>
    </r>
  </si>
  <si>
    <r>
      <t xml:space="preserve">Total number of libraries with Set A </t>
    </r>
    <r>
      <rPr>
        <u/>
        <sz val="11"/>
        <color theme="1"/>
        <rFont val="Calibri"/>
        <family val="2"/>
        <scheme val="minor"/>
      </rPr>
      <t>or</t>
    </r>
    <r>
      <rPr>
        <b/>
        <sz val="11"/>
        <color theme="1"/>
        <rFont val="Calibri"/>
        <family val="2"/>
        <scheme val="minor"/>
      </rPr>
      <t xml:space="preserve"> B </t>
    </r>
    <r>
      <rPr>
        <sz val="11"/>
        <color theme="1"/>
        <rFont val="Calibri"/>
        <family val="2"/>
        <scheme val="minor"/>
      </rPr>
      <t>(12 adapters)</t>
    </r>
  </si>
  <si>
    <r>
      <t xml:space="preserve">To confirm </t>
    </r>
    <r>
      <rPr>
        <b/>
        <u/>
        <sz val="11"/>
        <rFont val="Calibri"/>
        <family val="2"/>
        <scheme val="minor"/>
      </rPr>
      <t>actual</t>
    </r>
    <r>
      <rPr>
        <b/>
        <sz val="11"/>
        <rFont val="Calibri"/>
        <family val="2"/>
        <scheme val="minor"/>
      </rPr>
      <t xml:space="preserve"> adapter:insert molar ratio:</t>
    </r>
  </si>
  <si>
    <r>
      <t xml:space="preserve">Enter </t>
    </r>
    <r>
      <rPr>
        <b/>
        <u/>
        <sz val="11"/>
        <rFont val="Calibri"/>
        <family val="2"/>
        <scheme val="minor"/>
      </rPr>
      <t xml:space="preserve">actual </t>
    </r>
    <r>
      <rPr>
        <b/>
        <sz val="11"/>
        <rFont val="Calibri"/>
        <family val="2"/>
        <scheme val="minor"/>
      </rPr>
      <t>Adapter Stock Concentration used</t>
    </r>
  </si>
  <si>
    <r>
      <rPr>
        <b/>
        <u/>
        <sz val="11"/>
        <rFont val="Calibri"/>
        <family val="2"/>
        <scheme val="minor"/>
      </rPr>
      <t xml:space="preserve">Actual </t>
    </r>
    <r>
      <rPr>
        <b/>
        <sz val="11"/>
        <rFont val="Calibri"/>
        <family val="2"/>
        <scheme val="minor"/>
      </rPr>
      <t>adapter:insert molar ratio</t>
    </r>
  </si>
  <si>
    <r>
      <t xml:space="preserve">Total number of libraries with Set A + B </t>
    </r>
    <r>
      <rPr>
        <sz val="11"/>
        <rFont val="Calibri"/>
        <family val="2"/>
        <scheme val="minor"/>
      </rPr>
      <t>(24 adapters)</t>
    </r>
  </si>
  <si>
    <r>
      <t xml:space="preserve">Total number of libraries with Set A </t>
    </r>
    <r>
      <rPr>
        <u/>
        <sz val="11"/>
        <rFont val="Calibri"/>
        <family val="2"/>
        <scheme val="minor"/>
      </rPr>
      <t>or</t>
    </r>
    <r>
      <rPr>
        <b/>
        <sz val="11"/>
        <rFont val="Calibri"/>
        <family val="2"/>
        <scheme val="minor"/>
      </rPr>
      <t xml:space="preserve"> B </t>
    </r>
    <r>
      <rPr>
        <sz val="11"/>
        <rFont val="Calibri"/>
        <family val="2"/>
        <scheme val="minor"/>
      </rPr>
      <t>(12 adapters)</t>
    </r>
  </si>
  <si>
    <t xml:space="preserve">3. Are you performing a bead cleanup after shearing? </t>
  </si>
  <si>
    <t>5. Are you performing Amplification (enter Yes or No)?</t>
  </si>
  <si>
    <t xml:space="preserve">Beads per sample
(µL) </t>
  </si>
  <si>
    <t>Total Volume
(µL)</t>
  </si>
  <si>
    <t>Enter the recommended Adapter Concentration from the above table</t>
  </si>
  <si>
    <t>Input into library construction (ng)</t>
  </si>
  <si>
    <t>Volume of Adapter to use per ligation reaction
(Default = 5 µl. May be increased up to 10 µl if needed)</t>
  </si>
  <si>
    <t>N/A</t>
  </si>
  <si>
    <t>KAPA Single-Indexed Adapter Calculator (DNA)</t>
  </si>
  <si>
    <t>KAPA Dual-Indexed Adapter Calculator (DNA)</t>
  </si>
  <si>
    <t>KAPA Single-Indexed Adapter Calculator (RNA)</t>
  </si>
  <si>
    <t>KAPA Dual-Indexed Adapter Concentration (µM)</t>
  </si>
  <si>
    <t>KAPA Dual-Indexed Adapter Calculator (RNA)</t>
  </si>
  <si>
    <t>6. Are you performing post-capture Amplification (Yes or No)?</t>
  </si>
  <si>
    <t>5. Are you performing pre-capture Amplification (Yes or No)?</t>
  </si>
  <si>
    <t>Adapter Stock Concentration to use (µM)</t>
  </si>
  <si>
    <r>
      <t>Total number of libraries with</t>
    </r>
    <r>
      <rPr>
        <sz val="11"/>
        <color theme="1"/>
        <rFont val="Calibri"/>
        <family val="2"/>
        <scheme val="minor"/>
      </rPr>
      <t>(96 adapters)</t>
    </r>
  </si>
  <si>
    <r>
      <t xml:space="preserve">Total number of libraries with Adapter Plate </t>
    </r>
    <r>
      <rPr>
        <sz val="11"/>
        <color theme="1"/>
        <rFont val="Calibri"/>
        <family val="2"/>
        <scheme val="minor"/>
      </rPr>
      <t>(96 adapters)</t>
    </r>
  </si>
  <si>
    <r>
      <t xml:space="preserve">Total number of libraries with Adapter Plate </t>
    </r>
    <r>
      <rPr>
        <sz val="11"/>
        <rFont val="Calibri"/>
        <family val="2"/>
        <scheme val="minor"/>
      </rPr>
      <t>(96 adapters)</t>
    </r>
  </si>
  <si>
    <t>KAPA Single-Indexed Adapter Calculator (Capture)</t>
  </si>
  <si>
    <t>KAPA Dual-Indexed Adapter Calculator (Capture)</t>
  </si>
  <si>
    <t>Total number of libraries with Set A + B (24 adapters)</t>
  </si>
  <si>
    <t>Total number of libraries with Set A or B (12 adapters)</t>
  </si>
  <si>
    <t>Name of user</t>
  </si>
  <si>
    <t>Version</t>
  </si>
  <si>
    <t>Date</t>
  </si>
  <si>
    <t>Changed By</t>
  </si>
  <si>
    <t>Reviewed By</t>
  </si>
  <si>
    <t>Change Description</t>
  </si>
  <si>
    <t>Reference #</t>
  </si>
  <si>
    <t>- The most appropriate Adapter Stock Concentration for your application</t>
  </si>
  <si>
    <t>Guidelines for how to use Calculator</t>
  </si>
  <si>
    <t>Data Entry Type</t>
  </si>
  <si>
    <t>Manual</t>
  </si>
  <si>
    <t>Data Entry Fields</t>
  </si>
  <si>
    <t>Data entry fields are indicated with green fill:</t>
  </si>
  <si>
    <t>Data Entry Field</t>
  </si>
  <si>
    <t>Formulae</t>
  </si>
  <si>
    <t>Out of Spec</t>
  </si>
  <si>
    <t>Out of specification data are flagged using conditional formatting with red fill:</t>
  </si>
  <si>
    <t>This calculator is also designed to determine the amount of KAPA Pure Beads required, base on your specific workflow</t>
  </si>
  <si>
    <t>Data Output</t>
  </si>
  <si>
    <t>Cells which contain results based on green cells are indicated with orange fill:</t>
  </si>
  <si>
    <t>Background</t>
  </si>
  <si>
    <t>Used to show working area</t>
  </si>
  <si>
    <t>- The factor by which Adapter stocks should be diluted</t>
  </si>
  <si>
    <t>- The number of libraries that can be prepared from the kit concentration and configuration (12, 24 or 96 adapters) you have selected</t>
  </si>
  <si>
    <t>KAPA Accessory Calculator</t>
  </si>
  <si>
    <t xml:space="preserve">KAPA Single- &amp; Dual-Indexed Adapter Kits contain high-quality, ready-to-use adapters for Illumina library construction. Each adapter includes a single, 6-nt index (Single-Indexed) or 8nt index (Dual-Indexed) for multiplexed sequencing applications. KAPA Adapters are compatible with KAPA library preparation kits for DNA and RNA sequencing applications. 
</t>
  </si>
  <si>
    <t>KAPA Single- &amp; Dual-Indexed Adapter Kits for Illumina™ platforms and KAPA Pure Beads</t>
  </si>
  <si>
    <t>Wesley Larkan</t>
  </si>
  <si>
    <t>KAPA Stranded RNA-Seq Library Preparation Kit with RiboErase</t>
  </si>
  <si>
    <t>KAPA Stranded mRNA-Seq Library Preparation Kit</t>
  </si>
  <si>
    <t>KAPA Stranded  RNA-Seq Library Preparation Kit</t>
  </si>
  <si>
    <t>KAPA mRNA HyperPrep Kit</t>
  </si>
  <si>
    <t>KAPA RNA HyperPrep Kit with RiboErase</t>
  </si>
  <si>
    <t>KAPA RNA HyperPrep Kit</t>
  </si>
  <si>
    <r>
      <rPr>
        <b/>
        <sz val="11"/>
        <color theme="1"/>
        <rFont val="Imago"/>
      </rPr>
      <t xml:space="preserve">KAPA Single-Indexed Adapters are available in two concentrations, namely 30 µM and 1.5 µM and KAPA Dual-Indexed Adapters are </t>
    </r>
    <r>
      <rPr>
        <b/>
        <sz val="11"/>
        <rFont val="Imago"/>
      </rPr>
      <t>availabe</t>
    </r>
    <r>
      <rPr>
        <b/>
        <sz val="11"/>
        <color theme="1"/>
        <rFont val="Imago"/>
      </rPr>
      <t xml:space="preserve"> at 15 µM in 96-well plate format.</t>
    </r>
    <r>
      <rPr>
        <sz val="11"/>
        <color theme="1"/>
        <rFont val="Imago"/>
      </rPr>
      <t xml:space="preserve"> Based on your library construction kit and workflow, DNA or RNA input, as well as fragment (insert) length and desired adapter:insert molar ratio (for DNA applications only), this calculator is designed to return the following:</t>
    </r>
  </si>
  <si>
    <r>
      <t>*Do not store at</t>
    </r>
    <r>
      <rPr>
        <sz val="11"/>
        <color rgb="FFFF0000"/>
        <rFont val="Calibri"/>
        <family val="2"/>
        <scheme val="minor"/>
      </rPr>
      <t xml:space="preserve"> </t>
    </r>
    <r>
      <rPr>
        <sz val="11"/>
        <rFont val="Calibri"/>
        <family val="2"/>
        <scheme val="minor"/>
      </rPr>
      <t>concentrations below 1.5 µM</t>
    </r>
  </si>
  <si>
    <t>Mode size of fragmented DNA (bp)</t>
  </si>
  <si>
    <t>Volume of Adapter used per ligation reaction (µL)</t>
  </si>
  <si>
    <r>
      <t xml:space="preserve">Enter </t>
    </r>
    <r>
      <rPr>
        <b/>
        <u/>
        <sz val="11"/>
        <rFont val="Calibri"/>
        <family val="2"/>
        <scheme val="minor"/>
      </rPr>
      <t xml:space="preserve">actual </t>
    </r>
    <r>
      <rPr>
        <b/>
        <sz val="11"/>
        <rFont val="Calibri"/>
        <family val="2"/>
        <scheme val="minor"/>
      </rPr>
      <t>Adapter Stock Concentration used (M)</t>
    </r>
  </si>
  <si>
    <t>KAPA HyperPlus Kit</t>
  </si>
  <si>
    <t>KAPA HTP/LTP Library Preparation Kit</t>
  </si>
  <si>
    <t>KAPA Hyper Prep Kit</t>
  </si>
  <si>
    <t>KAPA Hyper Prep &amp; HyperPlus Kit</t>
  </si>
  <si>
    <t>KAPA RiboErase HyperPrep Kit</t>
  </si>
  <si>
    <t>KAPA Stranded mRNA Library Preparation Kit</t>
  </si>
  <si>
    <t>KAPA Stranded Total RNA Library Preparation Kit</t>
  </si>
  <si>
    <t>KAPA Stranded RNA Library Preparation Kit with RiboErase</t>
  </si>
  <si>
    <r>
      <t>*Do not store at</t>
    </r>
    <r>
      <rPr>
        <sz val="11"/>
        <color rgb="FFFF0000"/>
        <rFont val="Calibri"/>
        <family val="2"/>
        <scheme val="minor"/>
      </rPr>
      <t xml:space="preserve"> </t>
    </r>
    <r>
      <rPr>
        <sz val="11"/>
        <rFont val="Calibri"/>
        <family val="2"/>
        <scheme val="minor"/>
      </rPr>
      <t>concentrations</t>
    </r>
    <r>
      <rPr>
        <sz val="11"/>
        <color theme="1"/>
        <rFont val="Calibri"/>
        <family val="2"/>
        <scheme val="minor"/>
      </rPr>
      <t xml:space="preserve"> below 1.5 µM</t>
    </r>
  </si>
  <si>
    <t>*Beads and RNA/cDNA should be fully mixed and homogenous</t>
  </si>
  <si>
    <t>Unit of concentration</t>
  </si>
  <si>
    <t>nM</t>
  </si>
  <si>
    <t>µM</t>
  </si>
  <si>
    <t>Jacqueline Meyer</t>
  </si>
  <si>
    <t>Based on KAPA_Calculator_V1.7. Major Formatting Changes. Added sections for KAPA Dual-Indexed Adapters</t>
  </si>
  <si>
    <t>sd</t>
  </si>
  <si>
    <t>Minor changes to kit naming</t>
  </si>
  <si>
    <t>Bead Calculations for KAPA DNA Library Construction: SeqCap EZ Capture Workflows</t>
  </si>
  <si>
    <r>
      <t>KAPA HyperPlus Kit +</t>
    </r>
    <r>
      <rPr>
        <b/>
        <sz val="12"/>
        <color rgb="FFFF0000"/>
        <rFont val="Calibri"/>
        <family val="2"/>
        <scheme val="minor"/>
      </rPr>
      <t xml:space="preserve"> </t>
    </r>
    <r>
      <rPr>
        <b/>
        <sz val="12"/>
        <rFont val="Calibri"/>
        <family val="2"/>
        <scheme val="minor"/>
      </rPr>
      <t>SeqCap EZ Capture</t>
    </r>
  </si>
  <si>
    <t>KAPA Hyper Prep Kit + SeqCap EZ Capture</t>
  </si>
  <si>
    <t>SeqCap EZ HyperCap using KAPA HyperPlus Kit</t>
  </si>
  <si>
    <t>SeqCap EZ HyperCap using KAPA HyperPrep Kit</t>
  </si>
  <si>
    <t>Adapter Calculations for KAPA DNA Library Construction: SeqCap EZ Capture Workflows</t>
  </si>
  <si>
    <t>* SeqCap EZ Capture workflow 5.1</t>
  </si>
  <si>
    <t>For Research Use Only. Not for use in diagnostic procedures.</t>
  </si>
  <si>
    <t>KAPA and SeqCap are trademarks of Roche. All other product names and trademarks are the property of their respective owners.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</si>
</sst>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_);\(#,##0.0\)"/>
    <numFmt numFmtId="166" formatCode="#,##0.0"/>
    <numFmt numFmtId="167" formatCode="yyyy\-mm\-dd;@"/>
  </numFmts>
  <fonts count="42">
    <font>
      <sz val="11"/>
      <color theme="1"/>
      <name val="Calibri"/>
      <family val="2"/>
      <scheme val="minor"/>
    </font>
    <font>
      <b/>
      <sz val="12"/>
      <color theme="1"/>
      <name val="Calibri"/>
      <family val="2"/>
      <scheme val="minor"/>
    </font>
    <font>
      <sz val="14"/>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9"/>
      <color indexed="81"/>
      <name val="Tahoma"/>
      <family val="2"/>
    </font>
    <font>
      <sz val="11"/>
      <color theme="1"/>
      <name val="Calibri"/>
      <family val="2"/>
      <scheme val="minor"/>
    </font>
    <font>
      <sz val="11"/>
      <color rgb="FFFF0000"/>
      <name val="Calibri"/>
      <family val="2"/>
      <scheme val="minor"/>
    </font>
    <font>
      <sz val="11"/>
      <color theme="0"/>
      <name val="Calibri"/>
      <family val="2"/>
      <scheme val="minor"/>
    </font>
    <font>
      <b/>
      <sz val="18"/>
      <color theme="1"/>
      <name val="Imago"/>
    </font>
    <font>
      <sz val="11"/>
      <color theme="1"/>
      <name val="Imago"/>
    </font>
    <font>
      <sz val="12"/>
      <color theme="1"/>
      <name val="Calibri"/>
      <family val="2"/>
      <scheme val="minor"/>
    </font>
    <font>
      <b/>
      <sz val="11"/>
      <name val="Calibri"/>
      <family val="2"/>
      <scheme val="minor"/>
    </font>
    <font>
      <i/>
      <sz val="11"/>
      <color theme="0" tint="-0.499984740745262"/>
      <name val="Calibri"/>
      <family val="2"/>
      <scheme val="minor"/>
    </font>
    <font>
      <sz val="11"/>
      <name val="Calibri"/>
      <family val="2"/>
      <scheme val="minor"/>
    </font>
    <font>
      <i/>
      <sz val="11"/>
      <name val="Calibri"/>
      <family val="2"/>
      <scheme val="minor"/>
    </font>
    <font>
      <u/>
      <sz val="11"/>
      <color theme="1"/>
      <name val="Calibri"/>
      <family val="2"/>
      <scheme val="minor"/>
    </font>
    <font>
      <b/>
      <u/>
      <sz val="11"/>
      <name val="Calibri"/>
      <family val="2"/>
      <scheme val="minor"/>
    </font>
    <font>
      <b/>
      <sz val="16"/>
      <name val="Calibri"/>
      <family val="2"/>
      <scheme val="minor"/>
    </font>
    <font>
      <sz val="11"/>
      <name val="Imago"/>
    </font>
    <font>
      <u/>
      <sz val="11"/>
      <name val="Calibri"/>
      <family val="2"/>
      <scheme val="minor"/>
    </font>
    <font>
      <b/>
      <sz val="14"/>
      <name val="Calibri"/>
      <family val="2"/>
      <scheme val="minor"/>
    </font>
    <font>
      <b/>
      <sz val="20"/>
      <name val="Calibri"/>
      <family val="2"/>
      <scheme val="minor"/>
    </font>
    <font>
      <sz val="20"/>
      <name val="Calibri"/>
      <family val="2"/>
      <scheme val="minor"/>
    </font>
    <font>
      <b/>
      <sz val="20"/>
      <color rgb="FF0070C0"/>
      <name val="Calibri"/>
      <family val="2"/>
      <scheme val="minor"/>
    </font>
    <font>
      <sz val="16"/>
      <name val="Calibri"/>
      <family val="2"/>
      <scheme val="minor"/>
    </font>
    <font>
      <b/>
      <sz val="36"/>
      <color rgb="FF0070C0"/>
      <name val="Calibri"/>
      <family val="2"/>
      <scheme val="minor"/>
    </font>
    <font>
      <sz val="10"/>
      <name val="Lato"/>
      <family val="2"/>
    </font>
    <font>
      <sz val="9"/>
      <name val="Lato"/>
      <family val="2"/>
    </font>
    <font>
      <b/>
      <sz val="14"/>
      <name val="Lato"/>
      <family val="2"/>
    </font>
    <font>
      <b/>
      <sz val="9"/>
      <name val="Lato"/>
      <family val="2"/>
    </font>
    <font>
      <b/>
      <sz val="11"/>
      <color theme="1"/>
      <name val="Imago"/>
    </font>
    <font>
      <b/>
      <sz val="12"/>
      <color theme="1"/>
      <name val="Imago"/>
    </font>
    <font>
      <i/>
      <sz val="11"/>
      <color theme="1"/>
      <name val="Imago"/>
    </font>
    <font>
      <b/>
      <sz val="12"/>
      <name val="Imago"/>
    </font>
    <font>
      <sz val="10"/>
      <name val="Imago"/>
    </font>
    <font>
      <b/>
      <sz val="10"/>
      <name val="Imago"/>
    </font>
    <font>
      <b/>
      <sz val="12"/>
      <color rgb="FFFF0000"/>
      <name val="Calibri"/>
      <family val="2"/>
      <scheme val="minor"/>
    </font>
    <font>
      <b/>
      <sz val="11"/>
      <name val="Imago"/>
    </font>
    <font>
      <b/>
      <sz val="12"/>
      <name val="Calibri"/>
      <family val="2"/>
      <scheme val="minor"/>
    </font>
    <font>
      <sz val="10.5"/>
      <color rgb="FF000000"/>
      <name val="Imago"/>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94">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style="thin">
        <color auto="1"/>
      </right>
      <top/>
      <bottom style="double">
        <color auto="1"/>
      </bottom>
      <diagonal/>
    </border>
    <border>
      <left/>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auto="1"/>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double">
        <color auto="1"/>
      </bottom>
      <diagonal/>
    </border>
    <border>
      <left/>
      <right style="medium">
        <color auto="1"/>
      </right>
      <top/>
      <bottom style="double">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style="medium">
        <color auto="1"/>
      </top>
      <bottom style="thin">
        <color auto="1"/>
      </bottom>
      <diagonal/>
    </border>
    <border>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indexed="64"/>
      </left>
      <right/>
      <top style="thin">
        <color auto="1"/>
      </top>
      <bottom style="medium">
        <color indexed="64"/>
      </bottom>
      <diagonal/>
    </border>
    <border>
      <left/>
      <right style="medium">
        <color auto="1"/>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auto="1"/>
      </right>
      <top style="medium">
        <color indexed="64"/>
      </top>
      <bottom style="double">
        <color indexed="64"/>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double">
        <color indexed="64"/>
      </bottom>
      <diagonal/>
    </border>
    <border>
      <left style="medium">
        <color auto="1"/>
      </left>
      <right style="thin">
        <color auto="1"/>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auto="1"/>
      </left>
      <right style="medium">
        <color indexed="64"/>
      </right>
      <top/>
      <bottom style="thin">
        <color auto="1"/>
      </bottom>
      <diagonal/>
    </border>
    <border>
      <left/>
      <right/>
      <top style="medium">
        <color auto="1"/>
      </top>
      <bottom style="double">
        <color indexed="64"/>
      </bottom>
      <diagonal/>
    </border>
    <border>
      <left style="thin">
        <color auto="1"/>
      </left>
      <right/>
      <top/>
      <bottom style="medium">
        <color auto="1"/>
      </bottom>
      <diagonal/>
    </border>
    <border>
      <left/>
      <right style="thin">
        <color auto="1"/>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right style="thin">
        <color auto="1"/>
      </right>
      <top style="medium">
        <color indexed="64"/>
      </top>
      <bottom/>
      <diagonal/>
    </border>
    <border>
      <left style="thin">
        <color auto="1"/>
      </left>
      <right/>
      <top style="medium">
        <color indexed="64"/>
      </top>
      <bottom/>
      <diagonal/>
    </border>
    <border>
      <left style="thin">
        <color auto="1"/>
      </left>
      <right style="medium">
        <color auto="1"/>
      </right>
      <top/>
      <bottom style="medium">
        <color indexed="64"/>
      </bottom>
      <diagonal/>
    </border>
    <border>
      <left style="medium">
        <color indexed="64"/>
      </left>
      <right/>
      <top/>
      <bottom style="double">
        <color indexed="64"/>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indexed="64"/>
      </bottom>
      <diagonal/>
    </border>
    <border>
      <left style="thin">
        <color auto="1"/>
      </left>
      <right style="medium">
        <color auto="1"/>
      </right>
      <top style="hair">
        <color auto="1"/>
      </top>
      <bottom style="medium">
        <color indexed="64"/>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medium">
        <color indexed="64"/>
      </bottom>
      <diagonal/>
    </border>
    <border>
      <left style="thin">
        <color auto="1"/>
      </left>
      <right/>
      <top style="hair">
        <color auto="1"/>
      </top>
      <bottom style="medium">
        <color indexed="64"/>
      </bottom>
      <diagonal/>
    </border>
    <border>
      <left/>
      <right style="thin">
        <color auto="1"/>
      </right>
      <top style="hair">
        <color auto="1"/>
      </top>
      <bottom style="medium">
        <color indexed="64"/>
      </bottom>
      <diagonal/>
    </border>
    <border>
      <left style="thin">
        <color auto="1"/>
      </left>
      <right/>
      <top style="double">
        <color indexed="64"/>
      </top>
      <bottom style="hair">
        <color auto="1"/>
      </bottom>
      <diagonal/>
    </border>
    <border>
      <left/>
      <right style="thin">
        <color auto="1"/>
      </right>
      <top style="double">
        <color indexed="64"/>
      </top>
      <bottom style="hair">
        <color auto="1"/>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7" fillId="0" borderId="0" applyFont="0" applyFill="0" applyBorder="0" applyAlignment="0" applyProtection="0"/>
  </cellStyleXfs>
  <cellXfs count="465">
    <xf numFmtId="0" fontId="0" fillId="0" borderId="0" xfId="0"/>
    <xf numFmtId="0" fontId="23" fillId="2" borderId="0" xfId="0" applyFont="1" applyFill="1" applyBorder="1" applyAlignment="1" applyProtection="1">
      <alignment vertical="center"/>
    </xf>
    <xf numFmtId="0" fontId="24" fillId="2" borderId="0" xfId="0" applyFont="1" applyFill="1" applyAlignment="1" applyProtection="1">
      <alignment vertical="center"/>
    </xf>
    <xf numFmtId="0" fontId="15" fillId="2" borderId="0" xfId="0" applyFont="1" applyFill="1" applyAlignment="1" applyProtection="1">
      <alignment horizontal="left" vertical="center"/>
    </xf>
    <xf numFmtId="0" fontId="26" fillId="2" borderId="0" xfId="0" applyFont="1" applyFill="1" applyAlignment="1" applyProtection="1">
      <alignment wrapText="1"/>
    </xf>
    <xf numFmtId="0" fontId="13" fillId="3" borderId="39" xfId="0" applyFont="1" applyFill="1" applyBorder="1" applyAlignment="1" applyProtection="1">
      <alignment horizontal="left" vertical="center"/>
    </xf>
    <xf numFmtId="0" fontId="15" fillId="2" borderId="0" xfId="0" applyFont="1" applyFill="1" applyProtection="1"/>
    <xf numFmtId="0" fontId="13" fillId="3" borderId="34" xfId="0" applyFont="1" applyFill="1" applyBorder="1" applyAlignment="1" applyProtection="1">
      <alignment horizontal="left" vertical="center"/>
    </xf>
    <xf numFmtId="0" fontId="13" fillId="3" borderId="34" xfId="0" applyFont="1" applyFill="1" applyBorder="1" applyAlignment="1" applyProtection="1">
      <alignment horizontal="left" vertical="center" indent="4"/>
    </xf>
    <xf numFmtId="0" fontId="13" fillId="3" borderId="41" xfId="0" applyFont="1" applyFill="1" applyBorder="1" applyAlignment="1" applyProtection="1">
      <alignment horizontal="left" vertical="center" indent="4"/>
    </xf>
    <xf numFmtId="0" fontId="13" fillId="3" borderId="39" xfId="0" applyFont="1" applyFill="1" applyBorder="1" applyAlignment="1" applyProtection="1">
      <alignment horizontal="left" vertical="center" indent="4"/>
    </xf>
    <xf numFmtId="0" fontId="13" fillId="3" borderId="48"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5" fillId="2" borderId="0" xfId="0" applyFont="1" applyFill="1" applyBorder="1" applyAlignment="1" applyProtection="1">
      <alignment horizontal="center" vertical="center"/>
    </xf>
    <xf numFmtId="0" fontId="15" fillId="2" borderId="0" xfId="0" applyFont="1" applyFill="1" applyBorder="1" applyProtection="1"/>
    <xf numFmtId="0" fontId="13" fillId="3" borderId="58" xfId="0" applyFont="1" applyFill="1" applyBorder="1" applyAlignment="1" applyProtection="1">
      <alignment horizontal="left" vertical="center"/>
    </xf>
    <xf numFmtId="0" fontId="13" fillId="3" borderId="59" xfId="0" applyFont="1" applyFill="1" applyBorder="1" applyAlignment="1" applyProtection="1">
      <alignment horizontal="center" vertical="center" wrapText="1"/>
    </xf>
    <xf numFmtId="0" fontId="13" fillId="3" borderId="63"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3" borderId="24" xfId="0" applyFont="1" applyFill="1" applyBorder="1" applyAlignment="1" applyProtection="1">
      <alignment horizontal="left" vertical="center"/>
    </xf>
    <xf numFmtId="0" fontId="15" fillId="3" borderId="26" xfId="0" applyFont="1" applyFill="1" applyBorder="1" applyAlignment="1" applyProtection="1">
      <alignment horizontal="center" vertical="center"/>
    </xf>
    <xf numFmtId="0" fontId="15" fillId="5" borderId="28"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37" xfId="0" applyFont="1" applyFill="1" applyBorder="1" applyAlignment="1" applyProtection="1">
      <alignment horizontal="center" vertical="center"/>
    </xf>
    <xf numFmtId="0" fontId="15" fillId="5" borderId="38"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164" fontId="22" fillId="2" borderId="0" xfId="0" applyNumberFormat="1" applyFont="1" applyFill="1" applyBorder="1" applyAlignment="1" applyProtection="1">
      <alignment vertical="center"/>
    </xf>
    <xf numFmtId="0" fontId="15" fillId="2" borderId="0" xfId="0" applyFont="1" applyFill="1" applyAlignment="1" applyProtection="1">
      <alignment vertical="center"/>
    </xf>
    <xf numFmtId="0" fontId="15" fillId="3" borderId="24"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28" xfId="0" applyFont="1" applyFill="1" applyBorder="1" applyAlignment="1" applyProtection="1">
      <alignment vertical="center" wrapText="1"/>
    </xf>
    <xf numFmtId="0" fontId="15" fillId="3" borderId="24" xfId="0" applyFont="1" applyFill="1" applyBorder="1" applyAlignment="1" applyProtection="1">
      <alignment vertical="center"/>
    </xf>
    <xf numFmtId="0" fontId="26" fillId="3" borderId="23" xfId="0" applyFont="1" applyFill="1" applyBorder="1" applyAlignment="1" applyProtection="1">
      <alignment horizontal="center" vertical="center" wrapText="1"/>
    </xf>
    <xf numFmtId="0" fontId="26" fillId="2" borderId="0" xfId="0" applyFont="1" applyFill="1" applyAlignment="1" applyProtection="1">
      <alignment horizontal="center" vertical="center" wrapText="1"/>
    </xf>
    <xf numFmtId="0" fontId="13" fillId="3" borderId="24" xfId="0" applyFont="1" applyFill="1" applyBorder="1" applyAlignment="1" applyProtection="1">
      <alignment horizontal="center" vertical="center"/>
    </xf>
    <xf numFmtId="0" fontId="15" fillId="3" borderId="67" xfId="0" applyFont="1" applyFill="1" applyBorder="1" applyAlignment="1" applyProtection="1">
      <alignment horizontal="center" vertical="center"/>
    </xf>
    <xf numFmtId="0" fontId="15" fillId="3" borderId="69" xfId="0" applyFont="1" applyFill="1" applyBorder="1" applyAlignment="1" applyProtection="1">
      <alignment horizontal="center" vertical="center"/>
    </xf>
    <xf numFmtId="0" fontId="15" fillId="3" borderId="44"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2" borderId="0" xfId="0" applyFont="1" applyFill="1" applyAlignment="1" applyProtection="1">
      <alignment horizontal="center" vertical="center"/>
    </xf>
    <xf numFmtId="49" fontId="15" fillId="3" borderId="0" xfId="0" applyNumberFormat="1" applyFont="1" applyFill="1" applyBorder="1" applyAlignment="1" applyProtection="1">
      <alignment horizontal="center" vertical="center"/>
    </xf>
    <xf numFmtId="0" fontId="15" fillId="3" borderId="68" xfId="0" applyFont="1" applyFill="1" applyBorder="1" applyAlignment="1" applyProtection="1">
      <alignment horizontal="center" vertical="center"/>
    </xf>
    <xf numFmtId="0" fontId="15" fillId="3" borderId="29" xfId="0" applyFont="1" applyFill="1" applyBorder="1" applyAlignment="1" applyProtection="1">
      <alignment horizontal="center" vertical="center"/>
    </xf>
    <xf numFmtId="0" fontId="13" fillId="3" borderId="24" xfId="0" applyFont="1" applyFill="1" applyBorder="1" applyAlignment="1" applyProtection="1">
      <alignment vertical="center"/>
    </xf>
    <xf numFmtId="0" fontId="13" fillId="3" borderId="25" xfId="0" applyFont="1" applyFill="1" applyBorder="1" applyAlignment="1" applyProtection="1">
      <alignment vertical="center"/>
    </xf>
    <xf numFmtId="49" fontId="15" fillId="3" borderId="19" xfId="0" applyNumberFormat="1" applyFont="1" applyFill="1" applyBorder="1" applyAlignment="1" applyProtection="1">
      <alignment horizontal="center" vertical="center"/>
    </xf>
    <xf numFmtId="0" fontId="13" fillId="2" borderId="0" xfId="0" applyFont="1" applyFill="1" applyBorder="1" applyAlignment="1" applyProtection="1">
      <alignment vertical="center"/>
    </xf>
    <xf numFmtId="0" fontId="15" fillId="2" borderId="0" xfId="0" applyFont="1" applyFill="1" applyBorder="1" applyAlignment="1" applyProtection="1">
      <alignment horizontal="center"/>
    </xf>
    <xf numFmtId="49" fontId="15" fillId="2" borderId="0" xfId="0" applyNumberFormat="1" applyFont="1" applyFill="1" applyBorder="1" applyAlignment="1" applyProtection="1">
      <alignment horizontal="center"/>
    </xf>
    <xf numFmtId="0" fontId="15" fillId="2" borderId="0"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24" fillId="2" borderId="0" xfId="0" applyFont="1" applyFill="1" applyProtection="1"/>
    <xf numFmtId="0" fontId="19" fillId="3" borderId="54" xfId="0" applyFont="1" applyFill="1" applyBorder="1" applyAlignment="1" applyProtection="1">
      <alignment vertical="center"/>
    </xf>
    <xf numFmtId="0" fontId="26" fillId="2" borderId="0" xfId="0" applyFont="1" applyFill="1" applyProtection="1"/>
    <xf numFmtId="0" fontId="13" fillId="3" borderId="70" xfId="0" applyFont="1" applyFill="1" applyBorder="1" applyAlignment="1" applyProtection="1">
      <alignment vertical="center"/>
    </xf>
    <xf numFmtId="0" fontId="13" fillId="3" borderId="75" xfId="0" applyFont="1" applyFill="1" applyBorder="1" applyAlignment="1" applyProtection="1">
      <alignment vertical="center" wrapText="1"/>
    </xf>
    <xf numFmtId="0" fontId="16" fillId="3" borderId="75" xfId="0" applyFont="1" applyFill="1" applyBorder="1" applyAlignment="1" applyProtection="1">
      <alignment vertical="center"/>
    </xf>
    <xf numFmtId="2" fontId="16" fillId="3" borderId="34" xfId="0" applyNumberFormat="1" applyFont="1" applyFill="1" applyBorder="1" applyAlignment="1" applyProtection="1">
      <alignment horizontal="right" vertical="center" wrapText="1"/>
    </xf>
    <xf numFmtId="0" fontId="16" fillId="3" borderId="35" xfId="0" applyFont="1" applyFill="1" applyBorder="1" applyAlignment="1" applyProtection="1">
      <alignment horizontal="left" vertical="center"/>
    </xf>
    <xf numFmtId="0" fontId="13" fillId="3" borderId="75" xfId="0" applyFont="1" applyFill="1" applyBorder="1" applyAlignment="1" applyProtection="1">
      <alignment vertical="center"/>
    </xf>
    <xf numFmtId="164" fontId="16" fillId="3" borderId="34" xfId="0" applyNumberFormat="1" applyFont="1" applyFill="1" applyBorder="1" applyAlignment="1" applyProtection="1">
      <alignment horizontal="right" vertical="center"/>
    </xf>
    <xf numFmtId="0" fontId="16" fillId="3" borderId="35" xfId="0" quotePrefix="1" applyFont="1" applyFill="1" applyBorder="1" applyAlignment="1" applyProtection="1">
      <alignment horizontal="left" vertical="center"/>
    </xf>
    <xf numFmtId="0" fontId="13" fillId="3" borderId="75" xfId="0" applyFont="1" applyFill="1" applyBorder="1" applyAlignment="1" applyProtection="1">
      <alignment horizontal="left" vertical="center"/>
    </xf>
    <xf numFmtId="0" fontId="20" fillId="2" borderId="0" xfId="0" applyFont="1" applyFill="1" applyAlignment="1" applyProtection="1">
      <alignment vertical="center" wrapText="1"/>
    </xf>
    <xf numFmtId="0" fontId="13" fillId="3" borderId="77" xfId="0" applyFont="1" applyFill="1" applyBorder="1" applyAlignment="1" applyProtection="1">
      <alignment horizontal="left" vertical="center"/>
    </xf>
    <xf numFmtId="0" fontId="13" fillId="3" borderId="74" xfId="0" applyFont="1" applyFill="1" applyBorder="1" applyAlignment="1" applyProtection="1">
      <alignment horizontal="left" vertical="center"/>
    </xf>
    <xf numFmtId="0" fontId="13" fillId="3" borderId="25" xfId="0" applyFont="1" applyFill="1" applyBorder="1" applyAlignment="1" applyProtection="1">
      <alignment horizontal="left" vertical="center"/>
    </xf>
    <xf numFmtId="0" fontId="13" fillId="3" borderId="76" xfId="0" applyFont="1" applyFill="1" applyBorder="1" applyAlignment="1" applyProtection="1">
      <alignment horizontal="left" vertical="center"/>
    </xf>
    <xf numFmtId="0" fontId="15" fillId="3" borderId="75" xfId="0" applyFont="1" applyFill="1" applyBorder="1" applyAlignment="1" applyProtection="1">
      <alignment vertical="center"/>
    </xf>
    <xf numFmtId="0" fontId="13" fillId="3" borderId="76" xfId="0" applyFont="1" applyFill="1" applyBorder="1" applyAlignment="1" applyProtection="1">
      <alignment vertical="center"/>
    </xf>
    <xf numFmtId="0" fontId="20" fillId="2" borderId="0" xfId="0" applyFont="1" applyFill="1" applyAlignment="1" applyProtection="1">
      <alignment vertical="center"/>
    </xf>
    <xf numFmtId="0" fontId="0" fillId="2" borderId="0" xfId="0" applyFill="1" applyAlignment="1" applyProtection="1">
      <alignment wrapText="1"/>
    </xf>
    <xf numFmtId="0" fontId="0" fillId="2" borderId="0" xfId="0" applyFill="1" applyProtection="1"/>
    <xf numFmtId="0" fontId="0" fillId="3" borderId="81" xfId="0" applyFont="1" applyFill="1" applyBorder="1" applyAlignment="1" applyProtection="1">
      <alignment wrapText="1"/>
    </xf>
    <xf numFmtId="0" fontId="3" fillId="3" borderId="24" xfId="0" applyFont="1" applyFill="1" applyBorder="1" applyAlignment="1" applyProtection="1">
      <alignment horizontal="left" vertical="center"/>
    </xf>
    <xf numFmtId="0" fontId="0" fillId="3" borderId="34" xfId="0" applyFont="1" applyFill="1" applyBorder="1" applyAlignment="1" applyProtection="1">
      <alignment horizontal="center" vertical="center"/>
    </xf>
    <xf numFmtId="0" fontId="0" fillId="3" borderId="35"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36" xfId="0" applyFont="1" applyFill="1" applyBorder="1" applyAlignment="1" applyProtection="1">
      <alignment horizontal="center" vertical="center"/>
    </xf>
    <xf numFmtId="0" fontId="0" fillId="5" borderId="28"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37" xfId="0" applyFont="1" applyFill="1" applyBorder="1" applyAlignment="1" applyProtection="1">
      <alignment horizontal="center" vertical="center"/>
    </xf>
    <xf numFmtId="0" fontId="0" fillId="5" borderId="38" xfId="0" applyFont="1" applyFill="1" applyBorder="1" applyAlignment="1" applyProtection="1">
      <alignment horizontal="center" vertical="center"/>
    </xf>
    <xf numFmtId="0" fontId="0" fillId="5" borderId="15"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3" fillId="3" borderId="25" xfId="0" applyFont="1" applyFill="1" applyBorder="1" applyAlignment="1" applyProtection="1">
      <alignment horizontal="left" vertical="center"/>
    </xf>
    <xf numFmtId="0" fontId="0" fillId="2" borderId="19" xfId="0" applyFont="1" applyFill="1" applyBorder="1" applyProtection="1"/>
    <xf numFmtId="0" fontId="0" fillId="2" borderId="0" xfId="0" applyFont="1" applyFill="1" applyBorder="1" applyProtection="1"/>
    <xf numFmtId="0" fontId="0" fillId="3" borderId="58" xfId="0" applyFont="1" applyFill="1" applyBorder="1" applyAlignment="1" applyProtection="1">
      <alignment horizontal="right" vertical="center"/>
    </xf>
    <xf numFmtId="3" fontId="9" fillId="3" borderId="34" xfId="0" applyNumberFormat="1" applyFont="1" applyFill="1" applyBorder="1" applyAlignment="1" applyProtection="1">
      <alignment vertical="center" wrapText="1"/>
    </xf>
    <xf numFmtId="3" fontId="9" fillId="3" borderId="35" xfId="0" applyNumberFormat="1" applyFont="1" applyFill="1" applyBorder="1" applyAlignment="1" applyProtection="1">
      <alignment vertical="center" wrapText="1"/>
    </xf>
    <xf numFmtId="0" fontId="3" fillId="3" borderId="23" xfId="0" applyFont="1" applyFill="1" applyBorder="1" applyAlignment="1" applyProtection="1">
      <alignment horizontal="left" vertical="center"/>
    </xf>
    <xf numFmtId="0" fontId="3" fillId="3" borderId="24" xfId="0" applyFont="1" applyFill="1" applyBorder="1" applyAlignment="1" applyProtection="1">
      <alignment horizontal="right" vertical="center"/>
    </xf>
    <xf numFmtId="0" fontId="13" fillId="3" borderId="24" xfId="0" applyFont="1" applyFill="1" applyBorder="1" applyAlignment="1" applyProtection="1">
      <alignment horizontal="right" vertical="center"/>
    </xf>
    <xf numFmtId="0" fontId="3" fillId="3" borderId="23" xfId="0" applyFont="1" applyFill="1" applyBorder="1" applyAlignment="1" applyProtection="1">
      <alignment horizontal="right" vertical="center"/>
    </xf>
    <xf numFmtId="0" fontId="3" fillId="3" borderId="25" xfId="0" applyFont="1" applyFill="1" applyBorder="1" applyAlignment="1" applyProtection="1">
      <alignment horizontal="right" vertical="center"/>
    </xf>
    <xf numFmtId="0" fontId="8" fillId="3" borderId="21" xfId="0" applyFont="1" applyFill="1" applyBorder="1" applyAlignment="1" applyProtection="1">
      <alignment wrapText="1"/>
    </xf>
    <xf numFmtId="0" fontId="13" fillId="3" borderId="48" xfId="0" applyFont="1" applyFill="1" applyBorder="1" applyAlignment="1" applyProtection="1">
      <alignment horizontal="left" vertical="center" wrapText="1"/>
    </xf>
    <xf numFmtId="0" fontId="3" fillId="3" borderId="75" xfId="0" applyFont="1" applyFill="1" applyBorder="1" applyAlignment="1" applyProtection="1">
      <alignment horizontal="left" vertical="center" wrapText="1"/>
    </xf>
    <xf numFmtId="0" fontId="0" fillId="2" borderId="24" xfId="0" applyFont="1" applyFill="1" applyBorder="1" applyAlignment="1" applyProtection="1">
      <alignment horizontal="left" vertical="center"/>
    </xf>
    <xf numFmtId="0" fontId="0" fillId="2" borderId="5"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1" xfId="0" applyFont="1" applyFill="1" applyBorder="1" applyAlignment="1" applyProtection="1">
      <alignment horizontal="center" vertical="center"/>
    </xf>
    <xf numFmtId="0" fontId="0" fillId="3" borderId="77" xfId="0" applyFont="1" applyFill="1" applyBorder="1" applyAlignment="1" applyProtection="1">
      <alignment horizontal="left" vertical="center"/>
    </xf>
    <xf numFmtId="0" fontId="0" fillId="3" borderId="36" xfId="0" applyFont="1" applyFill="1" applyBorder="1" applyAlignment="1" applyProtection="1">
      <alignment horizontal="center"/>
    </xf>
    <xf numFmtId="0" fontId="0" fillId="5" borderId="42" xfId="0" applyFont="1" applyFill="1" applyBorder="1" applyAlignment="1" applyProtection="1">
      <alignment horizontal="center"/>
    </xf>
    <xf numFmtId="0" fontId="0" fillId="5" borderId="28" xfId="0" applyFont="1" applyFill="1" applyBorder="1" applyAlignment="1" applyProtection="1">
      <alignment horizontal="center"/>
    </xf>
    <xf numFmtId="0" fontId="0" fillId="3" borderId="22" xfId="0" applyFont="1" applyFill="1" applyBorder="1" applyAlignment="1" applyProtection="1">
      <alignment horizontal="left" vertical="center"/>
    </xf>
    <xf numFmtId="0" fontId="0" fillId="3" borderId="26" xfId="0" applyFont="1" applyFill="1" applyBorder="1" applyAlignment="1" applyProtection="1">
      <alignment horizontal="center"/>
    </xf>
    <xf numFmtId="0" fontId="0" fillId="5" borderId="55" xfId="0" applyFont="1" applyFill="1" applyBorder="1" applyAlignment="1" applyProtection="1">
      <alignment horizontal="center"/>
    </xf>
    <xf numFmtId="0" fontId="0" fillId="3" borderId="70" xfId="0" applyFont="1" applyFill="1" applyBorder="1" applyAlignment="1" applyProtection="1">
      <alignment horizontal="left" vertical="center"/>
    </xf>
    <xf numFmtId="0" fontId="0" fillId="3" borderId="56" xfId="0" applyFont="1" applyFill="1" applyBorder="1" applyAlignment="1" applyProtection="1">
      <alignment horizontal="center"/>
    </xf>
    <xf numFmtId="0" fontId="0" fillId="5" borderId="40" xfId="0" applyFont="1" applyFill="1" applyBorder="1" applyAlignment="1" applyProtection="1">
      <alignment horizontal="center"/>
    </xf>
    <xf numFmtId="0" fontId="0" fillId="3" borderId="76" xfId="0" applyFont="1" applyFill="1" applyBorder="1" applyAlignment="1" applyProtection="1">
      <alignment horizontal="left" vertical="center"/>
    </xf>
    <xf numFmtId="0" fontId="0" fillId="2" borderId="0" xfId="0" applyFont="1" applyFill="1" applyProtection="1"/>
    <xf numFmtId="0" fontId="0" fillId="2" borderId="17" xfId="0" applyFont="1" applyFill="1" applyBorder="1" applyAlignment="1" applyProtection="1">
      <alignment horizontal="right"/>
    </xf>
    <xf numFmtId="0" fontId="0" fillId="2" borderId="17" xfId="0" applyFont="1" applyFill="1" applyBorder="1" applyProtection="1"/>
    <xf numFmtId="0" fontId="0" fillId="2" borderId="0" xfId="0" applyFill="1" applyBorder="1" applyProtection="1"/>
    <xf numFmtId="0" fontId="0" fillId="2" borderId="0" xfId="0" applyFill="1" applyAlignment="1" applyProtection="1">
      <alignment horizontal="center" vertical="center"/>
    </xf>
    <xf numFmtId="0" fontId="3" fillId="3" borderId="23"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12" fillId="3" borderId="24" xfId="0" applyFont="1" applyFill="1" applyBorder="1" applyAlignment="1" applyProtection="1">
      <alignment horizontal="center" vertical="center"/>
    </xf>
    <xf numFmtId="49" fontId="12" fillId="3" borderId="0" xfId="0" applyNumberFormat="1"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49" fontId="12" fillId="3" borderId="28"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xf>
    <xf numFmtId="0" fontId="12" fillId="3" borderId="25" xfId="0" applyFont="1" applyFill="1" applyBorder="1" applyAlignment="1" applyProtection="1">
      <alignment horizontal="center" vertical="center"/>
    </xf>
    <xf numFmtId="49" fontId="12" fillId="3" borderId="29" xfId="0" applyNumberFormat="1"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3" fillId="2" borderId="0" xfId="0" applyFont="1" applyFill="1" applyAlignment="1" applyProtection="1">
      <alignment horizontal="left" vertical="center"/>
    </xf>
    <xf numFmtId="0" fontId="12" fillId="2" borderId="0" xfId="0" applyFont="1" applyFill="1" applyBorder="1" applyAlignment="1" applyProtection="1">
      <alignment horizontal="center" vertical="center"/>
    </xf>
    <xf numFmtId="49" fontId="12" fillId="2" borderId="44"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27" fillId="2" borderId="0" xfId="0" applyFont="1" applyFill="1" applyBorder="1" applyAlignment="1" applyProtection="1">
      <alignment vertical="center"/>
    </xf>
    <xf numFmtId="0" fontId="3" fillId="3" borderId="24" xfId="0" applyFont="1" applyFill="1" applyBorder="1" applyAlignment="1" applyProtection="1">
      <alignment horizontal="left" vertical="center" wrapText="1"/>
    </xf>
    <xf numFmtId="0" fontId="14" fillId="3" borderId="24" xfId="0" applyFont="1" applyFill="1" applyBorder="1" applyAlignment="1" applyProtection="1">
      <alignment horizontal="left" vertical="center"/>
    </xf>
    <xf numFmtId="2" fontId="14" fillId="3" borderId="34" xfId="0" applyNumberFormat="1" applyFont="1" applyFill="1" applyBorder="1" applyAlignment="1" applyProtection="1">
      <alignment horizontal="right" vertical="center" wrapText="1"/>
    </xf>
    <xf numFmtId="0" fontId="14" fillId="3" borderId="6" xfId="0" applyFont="1" applyFill="1" applyBorder="1" applyAlignment="1" applyProtection="1">
      <alignment horizontal="left" vertical="center"/>
    </xf>
    <xf numFmtId="2" fontId="14" fillId="3" borderId="4" xfId="0" applyNumberFormat="1" applyFont="1" applyFill="1" applyBorder="1" applyAlignment="1" applyProtection="1">
      <alignment horizontal="right" vertical="center" wrapText="1"/>
    </xf>
    <xf numFmtId="0" fontId="14" fillId="3" borderId="35" xfId="0" applyFont="1" applyFill="1" applyBorder="1" applyAlignment="1" applyProtection="1">
      <alignment horizontal="left" vertical="center"/>
    </xf>
    <xf numFmtId="164" fontId="14" fillId="3" borderId="34" xfId="0" applyNumberFormat="1" applyFont="1" applyFill="1" applyBorder="1" applyAlignment="1" applyProtection="1">
      <alignment horizontal="right" vertical="center"/>
    </xf>
    <xf numFmtId="0" fontId="14" fillId="3" borderId="6" xfId="0" quotePrefix="1" applyFont="1" applyFill="1" applyBorder="1" applyAlignment="1" applyProtection="1">
      <alignment horizontal="left" vertical="center"/>
    </xf>
    <xf numFmtId="164" fontId="14" fillId="3" borderId="4" xfId="0" applyNumberFormat="1" applyFont="1" applyFill="1" applyBorder="1" applyAlignment="1" applyProtection="1">
      <alignment horizontal="right" vertical="center"/>
    </xf>
    <xf numFmtId="0" fontId="14" fillId="3" borderId="35" xfId="0" quotePrefix="1" applyFont="1" applyFill="1" applyBorder="1" applyAlignment="1" applyProtection="1">
      <alignment horizontal="left" vertical="center"/>
    </xf>
    <xf numFmtId="0" fontId="0" fillId="2" borderId="0" xfId="0" applyFont="1" applyFill="1" applyBorder="1" applyAlignment="1" applyProtection="1"/>
    <xf numFmtId="0" fontId="3" fillId="3" borderId="21" xfId="0" applyFont="1" applyFill="1" applyBorder="1" applyAlignment="1" applyProtection="1">
      <alignment horizontal="left" vertical="center"/>
    </xf>
    <xf numFmtId="0" fontId="3" fillId="3" borderId="22" xfId="0" applyFont="1" applyFill="1" applyBorder="1" applyAlignment="1" applyProtection="1">
      <alignment horizontal="left" vertical="center"/>
    </xf>
    <xf numFmtId="0" fontId="3" fillId="3" borderId="20" xfId="0" applyFont="1" applyFill="1" applyBorder="1" applyAlignment="1" applyProtection="1">
      <alignment horizontal="left" vertical="center"/>
    </xf>
    <xf numFmtId="0" fontId="16" fillId="3" borderId="24" xfId="0" applyFont="1" applyFill="1" applyBorder="1" applyAlignment="1" applyProtection="1">
      <alignment vertical="center"/>
    </xf>
    <xf numFmtId="0" fontId="19" fillId="3" borderId="16"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xf>
    <xf numFmtId="0" fontId="10" fillId="2" borderId="0" xfId="0" applyFont="1" applyFill="1" applyAlignment="1" applyProtection="1">
      <alignment vertical="center"/>
    </xf>
    <xf numFmtId="0" fontId="11" fillId="2" borderId="0" xfId="0" quotePrefix="1" applyFont="1" applyFill="1" applyAlignment="1" applyProtection="1">
      <alignment vertical="center"/>
    </xf>
    <xf numFmtId="0" fontId="11" fillId="2" borderId="0" xfId="0" applyFont="1" applyFill="1" applyAlignment="1" applyProtection="1">
      <alignment horizontal="left" vertical="center" wrapText="1"/>
    </xf>
    <xf numFmtId="0" fontId="33" fillId="2" borderId="0" xfId="0" applyFont="1" applyFill="1" applyAlignment="1" applyProtection="1">
      <alignment vertical="center"/>
    </xf>
    <xf numFmtId="0" fontId="19" fillId="3" borderId="54" xfId="0" applyFont="1" applyFill="1" applyBorder="1" applyAlignment="1" applyProtection="1">
      <alignment horizontal="left" vertical="center" wrapText="1"/>
    </xf>
    <xf numFmtId="0" fontId="13" fillId="3" borderId="70" xfId="0" applyFont="1" applyFill="1" applyBorder="1" applyAlignment="1" applyProtection="1">
      <alignment horizontal="left" vertical="center"/>
    </xf>
    <xf numFmtId="0" fontId="13" fillId="3" borderId="75" xfId="0" applyFont="1" applyFill="1" applyBorder="1" applyAlignment="1" applyProtection="1">
      <alignment horizontal="left" vertical="center" indent="4"/>
    </xf>
    <xf numFmtId="0" fontId="13" fillId="3" borderId="77" xfId="0" applyFont="1" applyFill="1" applyBorder="1" applyAlignment="1" applyProtection="1">
      <alignment horizontal="left" vertical="center" indent="4"/>
    </xf>
    <xf numFmtId="0" fontId="13" fillId="3" borderId="70" xfId="0" applyFont="1" applyFill="1" applyBorder="1" applyAlignment="1" applyProtection="1">
      <alignment horizontal="left" vertical="center" indent="4"/>
    </xf>
    <xf numFmtId="0" fontId="34" fillId="2" borderId="0" xfId="0" applyFont="1" applyFill="1" applyAlignment="1" applyProtection="1">
      <alignment horizontal="center" vertical="center"/>
    </xf>
    <xf numFmtId="0" fontId="31" fillId="3" borderId="62" xfId="0" applyFont="1" applyFill="1" applyBorder="1" applyAlignment="1" applyProtection="1">
      <alignment horizontal="center" vertical="center"/>
    </xf>
    <xf numFmtId="0" fontId="31" fillId="3" borderId="71" xfId="0" applyFont="1" applyFill="1" applyBorder="1" applyAlignment="1" applyProtection="1">
      <alignment horizontal="left" vertical="center" indent="1"/>
    </xf>
    <xf numFmtId="0" fontId="31" fillId="3" borderId="71" xfId="0" applyFont="1" applyFill="1" applyBorder="1" applyAlignment="1" applyProtection="1">
      <alignment vertical="center"/>
    </xf>
    <xf numFmtId="0" fontId="31" fillId="3" borderId="60" xfId="0" applyFont="1" applyFill="1" applyBorder="1" applyAlignment="1" applyProtection="1">
      <alignment horizontal="center" vertical="center"/>
    </xf>
    <xf numFmtId="0" fontId="35" fillId="2" borderId="0" xfId="0" applyFont="1" applyFill="1" applyAlignment="1" applyProtection="1">
      <alignment horizontal="left" vertical="center"/>
    </xf>
    <xf numFmtId="0" fontId="36" fillId="2" borderId="0" xfId="0" applyFont="1" applyFill="1" applyAlignment="1" applyProtection="1">
      <alignment horizontal="left" vertical="center"/>
    </xf>
    <xf numFmtId="0" fontId="37" fillId="3" borderId="0" xfId="0" applyFont="1" applyFill="1" applyAlignment="1" applyProtection="1">
      <alignment horizontal="left" vertical="center" wrapText="1"/>
    </xf>
    <xf numFmtId="0" fontId="37" fillId="4" borderId="0" xfId="0" applyFont="1" applyFill="1" applyAlignment="1" applyProtection="1">
      <alignment horizontal="left" vertical="center" wrapText="1"/>
    </xf>
    <xf numFmtId="0" fontId="37" fillId="5" borderId="0" xfId="0" applyFont="1" applyFill="1" applyAlignment="1" applyProtection="1">
      <alignment horizontal="left" vertical="center" wrapText="1"/>
    </xf>
    <xf numFmtId="0" fontId="37" fillId="6" borderId="0" xfId="0" applyFont="1" applyFill="1" applyAlignment="1" applyProtection="1">
      <alignment horizontal="left" vertical="center" wrapText="1"/>
    </xf>
    <xf numFmtId="0" fontId="36" fillId="2" borderId="0" xfId="0" applyFont="1" applyFill="1" applyAlignment="1" applyProtection="1">
      <alignment vertical="center" wrapText="1"/>
    </xf>
    <xf numFmtId="49" fontId="15" fillId="3" borderId="69" xfId="0" applyNumberFormat="1" applyFont="1" applyFill="1" applyBorder="1" applyAlignment="1" applyProtection="1">
      <alignment horizontal="center" vertical="center"/>
    </xf>
    <xf numFmtId="0" fontId="9" fillId="2" borderId="0" xfId="0" applyFont="1" applyFill="1" applyProtection="1"/>
    <xf numFmtId="0" fontId="9" fillId="2" borderId="0" xfId="0" applyFont="1" applyFill="1" applyAlignment="1" applyProtection="1">
      <alignment wrapText="1"/>
    </xf>
    <xf numFmtId="0" fontId="0" fillId="3" borderId="81" xfId="0" applyFont="1" applyFill="1" applyBorder="1" applyAlignment="1" applyProtection="1">
      <alignment horizontal="right" vertical="center"/>
    </xf>
    <xf numFmtId="0" fontId="11" fillId="2" borderId="0" xfId="0" applyFont="1" applyFill="1" applyProtection="1"/>
    <xf numFmtId="0" fontId="28" fillId="2" borderId="0" xfId="0" applyFont="1" applyFill="1" applyProtection="1"/>
    <xf numFmtId="0" fontId="28" fillId="2" borderId="0" xfId="0" applyNumberFormat="1" applyFont="1" applyFill="1" applyProtection="1"/>
    <xf numFmtId="0" fontId="28" fillId="2" borderId="0" xfId="0" applyFont="1" applyFill="1" applyBorder="1" applyProtection="1"/>
    <xf numFmtId="167" fontId="29" fillId="2" borderId="86" xfId="0" applyNumberFormat="1" applyFont="1" applyFill="1" applyBorder="1" applyAlignment="1" applyProtection="1">
      <alignment horizontal="center" vertical="center"/>
    </xf>
    <xf numFmtId="0" fontId="29" fillId="2" borderId="86" xfId="0" applyFont="1" applyFill="1" applyBorder="1" applyAlignment="1" applyProtection="1">
      <alignment horizontal="center" vertical="center" wrapText="1"/>
    </xf>
    <xf numFmtId="0" fontId="29" fillId="2" borderId="87" xfId="0" applyFont="1" applyFill="1" applyBorder="1" applyAlignment="1" applyProtection="1">
      <alignment horizontal="center" vertical="center" wrapText="1"/>
    </xf>
    <xf numFmtId="0" fontId="29" fillId="2" borderId="83" xfId="0" applyFont="1" applyFill="1" applyBorder="1" applyAlignment="1" applyProtection="1">
      <alignment horizontal="center" vertical="center" wrapText="1"/>
    </xf>
    <xf numFmtId="0" fontId="29" fillId="2" borderId="82" xfId="0" applyNumberFormat="1" applyFont="1" applyFill="1" applyBorder="1" applyAlignment="1" applyProtection="1">
      <alignment horizontal="center" vertical="center"/>
    </xf>
    <xf numFmtId="0" fontId="29" fillId="2" borderId="83" xfId="0" applyFont="1" applyFill="1" applyBorder="1" applyAlignment="1" applyProtection="1">
      <alignment horizontal="center" vertical="center"/>
    </xf>
    <xf numFmtId="0" fontId="29" fillId="2" borderId="84" xfId="0" applyNumberFormat="1" applyFont="1" applyFill="1" applyBorder="1" applyAlignment="1" applyProtection="1">
      <alignment horizontal="center" vertical="center"/>
    </xf>
    <xf numFmtId="167" fontId="29" fillId="2" borderId="89" xfId="0" applyNumberFormat="1" applyFont="1" applyFill="1" applyBorder="1" applyAlignment="1" applyProtection="1">
      <alignment horizontal="center" vertical="center"/>
    </xf>
    <xf numFmtId="0" fontId="29" fillId="2" borderId="89" xfId="0" applyFont="1" applyFill="1" applyBorder="1" applyAlignment="1" applyProtection="1">
      <alignment horizontal="center" vertical="center" wrapText="1"/>
    </xf>
    <xf numFmtId="0" fontId="29" fillId="2" borderId="90" xfId="0" applyFont="1" applyFill="1" applyBorder="1" applyAlignment="1" applyProtection="1">
      <alignment horizontal="center" vertical="center" wrapText="1"/>
    </xf>
    <xf numFmtId="0" fontId="29" fillId="2" borderId="85" xfId="0" applyFont="1" applyFill="1" applyBorder="1" applyAlignment="1" applyProtection="1">
      <alignment horizontal="center" vertical="center"/>
    </xf>
    <xf numFmtId="0" fontId="36" fillId="2" borderId="0" xfId="0" applyFont="1" applyFill="1" applyAlignment="1" applyProtection="1">
      <alignment horizontal="left" vertical="center" wrapText="1"/>
    </xf>
    <xf numFmtId="0" fontId="15" fillId="3" borderId="0" xfId="0" applyFont="1" applyFill="1" applyBorder="1" applyAlignment="1" applyProtection="1">
      <alignment horizontal="center" vertical="center"/>
    </xf>
    <xf numFmtId="0" fontId="15" fillId="3" borderId="28" xfId="0" applyFont="1" applyFill="1" applyBorder="1" applyAlignment="1" applyProtection="1">
      <alignment horizontal="center" vertical="center"/>
    </xf>
    <xf numFmtId="0" fontId="15" fillId="3" borderId="17" xfId="0" applyFont="1" applyFill="1" applyBorder="1" applyAlignment="1" applyProtection="1">
      <alignment horizontal="center" vertical="center"/>
    </xf>
    <xf numFmtId="0" fontId="15" fillId="3" borderId="19" xfId="0" applyFont="1" applyFill="1" applyBorder="1" applyAlignment="1" applyProtection="1">
      <alignment horizontal="center" vertical="center"/>
    </xf>
    <xf numFmtId="0" fontId="15" fillId="2" borderId="0"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0" fillId="3" borderId="24" xfId="0" applyFont="1" applyFill="1" applyBorder="1" applyAlignment="1" applyProtection="1">
      <alignment horizontal="center" vertical="center"/>
    </xf>
    <xf numFmtId="0" fontId="0" fillId="3" borderId="28" xfId="0" applyFont="1" applyFill="1" applyBorder="1" applyAlignment="1" applyProtection="1">
      <alignment horizontal="center" vertical="center"/>
    </xf>
    <xf numFmtId="0" fontId="31" fillId="3" borderId="59" xfId="0" applyNumberFormat="1" applyFont="1" applyFill="1" applyBorder="1" applyAlignment="1" applyProtection="1">
      <alignment horizontal="center" vertical="center"/>
    </xf>
    <xf numFmtId="0" fontId="41" fillId="0" borderId="0" xfId="0" applyFont="1" applyAlignment="1">
      <alignment horizontal="left" vertical="center" readingOrder="1"/>
    </xf>
    <xf numFmtId="0" fontId="11" fillId="2" borderId="0" xfId="0" applyFont="1" applyFill="1" applyAlignment="1" applyProtection="1">
      <alignment horizontal="left" vertical="top" wrapText="1"/>
    </xf>
    <xf numFmtId="0" fontId="36" fillId="2" borderId="0" xfId="0" applyFont="1" applyFill="1" applyAlignment="1" applyProtection="1">
      <alignment horizontal="left" vertical="center" wrapText="1"/>
    </xf>
    <xf numFmtId="0" fontId="15" fillId="4" borderId="16" xfId="0" applyFont="1" applyFill="1" applyBorder="1" applyAlignment="1" applyProtection="1">
      <alignment horizontal="center"/>
      <protection locked="0"/>
    </xf>
    <xf numFmtId="0" fontId="15" fillId="4" borderId="18" xfId="0" applyFont="1" applyFill="1" applyBorder="1" applyAlignment="1" applyProtection="1">
      <alignment horizontal="center"/>
      <protection locked="0"/>
    </xf>
    <xf numFmtId="164" fontId="16" fillId="3" borderId="32" xfId="0" applyNumberFormat="1" applyFont="1" applyFill="1" applyBorder="1" applyAlignment="1" applyProtection="1">
      <alignment horizontal="center" vertical="center"/>
    </xf>
    <xf numFmtId="164" fontId="16" fillId="3" borderId="33" xfId="0" applyNumberFormat="1" applyFont="1" applyFill="1" applyBorder="1" applyAlignment="1" applyProtection="1">
      <alignment horizontal="center" vertical="center"/>
    </xf>
    <xf numFmtId="164" fontId="13" fillId="5" borderId="64" xfId="0" applyNumberFormat="1" applyFont="1" applyFill="1" applyBorder="1" applyAlignment="1" applyProtection="1">
      <alignment horizontal="center" vertical="center" wrapText="1"/>
    </xf>
    <xf numFmtId="164" fontId="13" fillId="5" borderId="65" xfId="0" applyNumberFormat="1" applyFont="1" applyFill="1" applyBorder="1" applyAlignment="1" applyProtection="1">
      <alignment horizontal="center" vertical="center" wrapText="1"/>
    </xf>
    <xf numFmtId="164" fontId="13" fillId="4" borderId="56" xfId="0" applyNumberFormat="1" applyFont="1" applyFill="1" applyBorder="1" applyAlignment="1" applyProtection="1">
      <alignment horizontal="center" vertical="center"/>
      <protection locked="0"/>
    </xf>
    <xf numFmtId="164" fontId="13" fillId="4" borderId="57" xfId="0" applyNumberFormat="1" applyFont="1" applyFill="1" applyBorder="1" applyAlignment="1" applyProtection="1">
      <alignment horizontal="center" vertical="center"/>
      <protection locked="0"/>
    </xf>
    <xf numFmtId="164" fontId="13" fillId="3" borderId="32" xfId="0" applyNumberFormat="1" applyFont="1" applyFill="1" applyBorder="1" applyAlignment="1" applyProtection="1">
      <alignment horizontal="center" vertical="center"/>
    </xf>
    <xf numFmtId="164" fontId="13" fillId="3" borderId="33" xfId="0" applyNumberFormat="1" applyFont="1" applyFill="1" applyBorder="1" applyAlignment="1" applyProtection="1">
      <alignment horizontal="center" vertical="center"/>
    </xf>
    <xf numFmtId="3" fontId="13" fillId="3" borderId="25" xfId="0" applyNumberFormat="1" applyFont="1" applyFill="1" applyBorder="1" applyAlignment="1" applyProtection="1">
      <alignment horizontal="center" vertical="center"/>
    </xf>
    <xf numFmtId="3" fontId="13" fillId="3" borderId="29" xfId="0" applyNumberFormat="1" applyFont="1" applyFill="1" applyBorder="1" applyAlignment="1" applyProtection="1">
      <alignment horizontal="center" vertical="center"/>
    </xf>
    <xf numFmtId="3" fontId="13" fillId="3" borderId="73" xfId="0" applyNumberFormat="1" applyFont="1" applyFill="1" applyBorder="1" applyAlignment="1" applyProtection="1">
      <alignment horizontal="center" vertical="center"/>
    </xf>
    <xf numFmtId="3" fontId="13" fillId="3" borderId="72" xfId="0" applyNumberFormat="1" applyFont="1" applyFill="1" applyBorder="1" applyAlignment="1" applyProtection="1">
      <alignment horizontal="center" vertical="center"/>
    </xf>
    <xf numFmtId="164" fontId="13" fillId="5" borderId="36" xfId="0" applyNumberFormat="1" applyFont="1" applyFill="1" applyBorder="1" applyAlignment="1" applyProtection="1">
      <alignment horizontal="center" vertical="center"/>
    </xf>
    <xf numFmtId="164" fontId="13" fillId="5" borderId="47" xfId="0" applyNumberFormat="1" applyFont="1" applyFill="1" applyBorder="1" applyAlignment="1" applyProtection="1">
      <alignment horizontal="center" vertical="center"/>
    </xf>
    <xf numFmtId="3" fontId="13" fillId="3" borderId="23" xfId="0" applyNumberFormat="1" applyFont="1" applyFill="1" applyBorder="1" applyAlignment="1" applyProtection="1">
      <alignment horizontal="center" vertical="center"/>
    </xf>
    <xf numFmtId="3" fontId="13" fillId="3" borderId="27" xfId="0" applyNumberFormat="1" applyFont="1" applyFill="1" applyBorder="1" applyAlignment="1" applyProtection="1">
      <alignment horizontal="center" vertical="center"/>
    </xf>
    <xf numFmtId="3" fontId="13" fillId="3" borderId="78" xfId="0" applyNumberFormat="1" applyFont="1" applyFill="1" applyBorder="1" applyAlignment="1" applyProtection="1">
      <alignment horizontal="center" vertical="center"/>
    </xf>
    <xf numFmtId="3" fontId="13" fillId="3" borderId="79" xfId="0" applyNumberFormat="1" applyFont="1" applyFill="1" applyBorder="1" applyAlignment="1" applyProtection="1">
      <alignment horizontal="center" vertical="center"/>
    </xf>
    <xf numFmtId="0" fontId="13" fillId="3" borderId="32"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3" fontId="13" fillId="4" borderId="56" xfId="0" applyNumberFormat="1" applyFont="1" applyFill="1" applyBorder="1" applyAlignment="1" applyProtection="1">
      <alignment horizontal="center" vertical="center" wrapText="1"/>
      <protection locked="0"/>
    </xf>
    <xf numFmtId="3" fontId="13" fillId="4" borderId="57" xfId="0" applyNumberFormat="1" applyFont="1" applyFill="1" applyBorder="1" applyAlignment="1" applyProtection="1">
      <alignment horizontal="center" vertical="center" wrapText="1"/>
      <protection locked="0"/>
    </xf>
    <xf numFmtId="0" fontId="13" fillId="4" borderId="32" xfId="0" applyFont="1" applyFill="1" applyBorder="1" applyAlignment="1" applyProtection="1">
      <alignment horizontal="center" vertical="center" wrapText="1"/>
      <protection locked="0"/>
    </xf>
    <xf numFmtId="0" fontId="13" fillId="4" borderId="33" xfId="0" applyFont="1" applyFill="1" applyBorder="1" applyAlignment="1" applyProtection="1">
      <alignment horizontal="center" vertical="center" wrapText="1"/>
      <protection locked="0"/>
    </xf>
    <xf numFmtId="164" fontId="13" fillId="4" borderId="32" xfId="0" applyNumberFormat="1" applyFont="1" applyFill="1" applyBorder="1" applyAlignment="1" applyProtection="1">
      <alignment horizontal="center" vertical="center"/>
      <protection locked="0"/>
    </xf>
    <xf numFmtId="164" fontId="13" fillId="4" borderId="33" xfId="0" applyNumberFormat="1" applyFont="1" applyFill="1" applyBorder="1" applyAlignment="1" applyProtection="1">
      <alignment horizontal="center" vertical="center"/>
      <protection locked="0"/>
    </xf>
    <xf numFmtId="166" fontId="13" fillId="4" borderId="32" xfId="0" applyNumberFormat="1" applyFont="1" applyFill="1" applyBorder="1" applyAlignment="1" applyProtection="1">
      <alignment horizontal="center" vertical="center" wrapText="1"/>
      <protection locked="0"/>
    </xf>
    <xf numFmtId="166" fontId="13" fillId="4" borderId="33" xfId="0" applyNumberFormat="1" applyFont="1" applyFill="1" applyBorder="1" applyAlignment="1" applyProtection="1">
      <alignment horizontal="center" vertical="center" wrapText="1"/>
      <protection locked="0"/>
    </xf>
    <xf numFmtId="0" fontId="13" fillId="3" borderId="23" xfId="0" applyFont="1" applyFill="1" applyBorder="1" applyAlignment="1" applyProtection="1">
      <alignment horizontal="left" vertical="center"/>
    </xf>
    <xf numFmtId="0" fontId="13" fillId="3" borderId="44" xfId="0" applyFont="1" applyFill="1" applyBorder="1" applyAlignment="1" applyProtection="1">
      <alignment horizontal="left" vertical="center"/>
    </xf>
    <xf numFmtId="0" fontId="13" fillId="3" borderId="27" xfId="0" applyFont="1" applyFill="1" applyBorder="1" applyAlignment="1" applyProtection="1">
      <alignment horizontal="left" vertical="center"/>
    </xf>
    <xf numFmtId="0" fontId="27" fillId="3" borderId="16" xfId="0" applyFont="1" applyFill="1" applyBorder="1" applyAlignment="1" applyProtection="1">
      <alignment horizontal="center" vertical="center"/>
    </xf>
    <xf numFmtId="0" fontId="27" fillId="3" borderId="17" xfId="0" applyFont="1" applyFill="1" applyBorder="1" applyAlignment="1" applyProtection="1">
      <alignment horizontal="center" vertical="center"/>
    </xf>
    <xf numFmtId="0" fontId="27" fillId="3" borderId="18" xfId="0" applyFont="1" applyFill="1" applyBorder="1" applyAlignment="1" applyProtection="1">
      <alignment horizontal="center" vertical="center"/>
    </xf>
    <xf numFmtId="0" fontId="19" fillId="3" borderId="59" xfId="0" applyFont="1" applyFill="1" applyBorder="1" applyAlignment="1" applyProtection="1">
      <alignment horizontal="center" vertical="center" wrapText="1"/>
    </xf>
    <xf numFmtId="0" fontId="19" fillId="3" borderId="60" xfId="0" applyFont="1" applyFill="1" applyBorder="1" applyAlignment="1" applyProtection="1">
      <alignment horizontal="center" vertical="center" wrapText="1"/>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wrapText="1"/>
    </xf>
    <xf numFmtId="0" fontId="19" fillId="2" borderId="0" xfId="0" applyFont="1" applyFill="1" applyBorder="1" applyAlignment="1" applyProtection="1">
      <alignment horizontal="center" vertical="center" wrapText="1"/>
    </xf>
    <xf numFmtId="0" fontId="13" fillId="3" borderId="41" xfId="0" applyFont="1" applyFill="1" applyBorder="1" applyAlignment="1" applyProtection="1">
      <alignment horizontal="left" vertical="center"/>
    </xf>
    <xf numFmtId="0" fontId="13" fillId="3" borderId="2" xfId="0" applyFont="1" applyFill="1" applyBorder="1" applyAlignment="1" applyProtection="1">
      <alignment horizontal="left" vertical="center"/>
    </xf>
    <xf numFmtId="0" fontId="13" fillId="3" borderId="42" xfId="0" applyFont="1" applyFill="1" applyBorder="1" applyAlignment="1" applyProtection="1">
      <alignment horizontal="left" vertical="center"/>
    </xf>
    <xf numFmtId="0" fontId="27" fillId="3" borderId="30" xfId="0" applyFont="1" applyFill="1" applyBorder="1" applyAlignment="1" applyProtection="1">
      <alignment horizontal="center" vertical="center"/>
    </xf>
    <xf numFmtId="0" fontId="27" fillId="3" borderId="43" xfId="0" applyFont="1" applyFill="1" applyBorder="1" applyAlignment="1" applyProtection="1">
      <alignment horizontal="center" vertical="center"/>
    </xf>
    <xf numFmtId="0" fontId="27" fillId="3" borderId="31" xfId="0" applyFont="1" applyFill="1" applyBorder="1" applyAlignment="1" applyProtection="1">
      <alignment horizontal="center" vertical="center"/>
    </xf>
    <xf numFmtId="0" fontId="19" fillId="3" borderId="16" xfId="0" applyFont="1" applyFill="1" applyBorder="1" applyAlignment="1" applyProtection="1">
      <alignment horizontal="center" vertical="center" wrapText="1"/>
    </xf>
    <xf numFmtId="0" fontId="19" fillId="3" borderId="17" xfId="0" applyFont="1" applyFill="1" applyBorder="1" applyAlignment="1" applyProtection="1">
      <alignment horizontal="center" vertical="center" wrapText="1"/>
    </xf>
    <xf numFmtId="0" fontId="19" fillId="3" borderId="18" xfId="0" applyFont="1" applyFill="1" applyBorder="1" applyAlignment="1" applyProtection="1">
      <alignment horizontal="center" vertical="center" wrapText="1"/>
    </xf>
    <xf numFmtId="3" fontId="13" fillId="3" borderId="64" xfId="0" applyNumberFormat="1" applyFont="1" applyFill="1" applyBorder="1" applyAlignment="1" applyProtection="1">
      <alignment horizontal="center" vertical="center"/>
    </xf>
    <xf numFmtId="3" fontId="13" fillId="3" borderId="65" xfId="0" applyNumberFormat="1" applyFont="1" applyFill="1" applyBorder="1" applyAlignment="1" applyProtection="1">
      <alignment horizontal="center" vertical="center"/>
    </xf>
    <xf numFmtId="3" fontId="13" fillId="3" borderId="45" xfId="0" applyNumberFormat="1" applyFont="1" applyFill="1" applyBorder="1" applyAlignment="1" applyProtection="1">
      <alignment horizontal="center" vertical="center"/>
    </xf>
    <xf numFmtId="3" fontId="13" fillId="3" borderId="46" xfId="0" applyNumberFormat="1" applyFont="1" applyFill="1" applyBorder="1" applyAlignment="1" applyProtection="1">
      <alignment horizontal="center" vertical="center"/>
    </xf>
    <xf numFmtId="3" fontId="13" fillId="3" borderId="32" xfId="0" applyNumberFormat="1" applyFont="1" applyFill="1" applyBorder="1" applyAlignment="1" applyProtection="1">
      <alignment horizontal="center" vertical="center"/>
    </xf>
    <xf numFmtId="3" fontId="13" fillId="3" borderId="33" xfId="0" applyNumberFormat="1" applyFont="1" applyFill="1" applyBorder="1" applyAlignment="1" applyProtection="1">
      <alignment horizontal="center" vertical="center"/>
    </xf>
    <xf numFmtId="164" fontId="13" fillId="4" borderId="56" xfId="0" applyNumberFormat="1" applyFont="1" applyFill="1" applyBorder="1" applyAlignment="1" applyProtection="1">
      <alignment horizontal="center" vertical="center"/>
    </xf>
    <xf numFmtId="164" fontId="13" fillId="4" borderId="57" xfId="0" applyNumberFormat="1" applyFont="1" applyFill="1" applyBorder="1" applyAlignment="1" applyProtection="1">
      <alignment horizontal="center" vertical="center"/>
    </xf>
    <xf numFmtId="0" fontId="15" fillId="3" borderId="24"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28" xfId="0" applyFont="1" applyFill="1" applyBorder="1" applyAlignment="1" applyProtection="1">
      <alignment horizontal="left" vertical="center" wrapText="1"/>
    </xf>
    <xf numFmtId="0" fontId="13" fillId="5" borderId="32"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5" fillId="3" borderId="19" xfId="0" applyFont="1" applyFill="1" applyBorder="1" applyAlignment="1" applyProtection="1">
      <alignment horizontal="center" vertical="center"/>
    </xf>
    <xf numFmtId="0" fontId="15" fillId="3" borderId="24"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28" xfId="0" applyFont="1" applyFill="1" applyBorder="1" applyAlignment="1" applyProtection="1">
      <alignment horizontal="center" vertical="center" wrapText="1"/>
    </xf>
    <xf numFmtId="0" fontId="15" fillId="3" borderId="25" xfId="0" applyFont="1" applyFill="1" applyBorder="1" applyAlignment="1" applyProtection="1">
      <alignment horizontal="center" vertical="center" wrapText="1"/>
    </xf>
    <xf numFmtId="0" fontId="15" fillId="3" borderId="19" xfId="0" applyFont="1" applyFill="1" applyBorder="1" applyAlignment="1" applyProtection="1">
      <alignment horizontal="center" vertical="center" wrapText="1"/>
    </xf>
    <xf numFmtId="0" fontId="15" fillId="3" borderId="29"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xf>
    <xf numFmtId="0" fontId="15" fillId="3" borderId="17" xfId="0" applyFont="1" applyFill="1" applyBorder="1" applyAlignment="1" applyProtection="1">
      <alignment horizontal="center" vertical="center"/>
    </xf>
    <xf numFmtId="2" fontId="22" fillId="5" borderId="48" xfId="0" applyNumberFormat="1" applyFont="1" applyFill="1" applyBorder="1" applyAlignment="1" applyProtection="1">
      <alignment horizontal="center" vertical="center"/>
    </xf>
    <xf numFmtId="2" fontId="22" fillId="5" borderId="49" xfId="0" applyNumberFormat="1" applyFont="1" applyFill="1" applyBorder="1" applyAlignment="1" applyProtection="1">
      <alignment horizontal="center" vertical="center"/>
    </xf>
    <xf numFmtId="164" fontId="22" fillId="5" borderId="50" xfId="0" applyNumberFormat="1" applyFont="1" applyFill="1" applyBorder="1" applyAlignment="1" applyProtection="1">
      <alignment horizontal="center" vertical="center"/>
    </xf>
    <xf numFmtId="164" fontId="22" fillId="5" borderId="49" xfId="0" applyNumberFormat="1" applyFont="1" applyFill="1" applyBorder="1" applyAlignment="1" applyProtection="1">
      <alignment horizontal="center" vertical="center"/>
    </xf>
    <xf numFmtId="0" fontId="15" fillId="4" borderId="6"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33" xfId="0" applyFont="1" applyFill="1" applyBorder="1" applyAlignment="1" applyProtection="1">
      <alignment horizontal="center" vertical="center"/>
      <protection locked="0"/>
    </xf>
    <xf numFmtId="0" fontId="15" fillId="4" borderId="19" xfId="0" applyFont="1" applyFill="1" applyBorder="1" applyAlignment="1" applyProtection="1">
      <alignment horizontal="center" vertical="center"/>
      <protection locked="0"/>
    </xf>
    <xf numFmtId="0" fontId="15" fillId="4" borderId="29" xfId="0" applyFont="1" applyFill="1" applyBorder="1" applyAlignment="1" applyProtection="1">
      <alignment horizontal="center" vertical="center"/>
      <protection locked="0"/>
    </xf>
    <xf numFmtId="0" fontId="15" fillId="4" borderId="68" xfId="0" applyFont="1" applyFill="1" applyBorder="1" applyAlignment="1" applyProtection="1">
      <alignment horizontal="center" vertical="center"/>
      <protection locked="0"/>
    </xf>
    <xf numFmtId="0" fontId="15" fillId="4" borderId="80" xfId="0" applyFont="1" applyFill="1" applyBorder="1" applyAlignment="1" applyProtection="1">
      <alignment horizontal="center" vertical="center"/>
      <protection locked="0"/>
    </xf>
    <xf numFmtId="0" fontId="15" fillId="4" borderId="73" xfId="0" applyFont="1" applyFill="1" applyBorder="1" applyAlignment="1" applyProtection="1">
      <alignment horizontal="center" vertical="center"/>
      <protection locked="0"/>
    </xf>
    <xf numFmtId="0" fontId="15" fillId="3" borderId="25" xfId="0" applyFont="1" applyFill="1" applyBorder="1" applyAlignment="1" applyProtection="1">
      <alignment horizontal="left" vertical="center" wrapText="1"/>
    </xf>
    <xf numFmtId="0" fontId="15" fillId="3" borderId="19" xfId="0" applyFont="1" applyFill="1" applyBorder="1" applyAlignment="1" applyProtection="1">
      <alignment horizontal="left" vertical="center" wrapText="1"/>
    </xf>
    <xf numFmtId="0" fontId="15" fillId="3" borderId="29" xfId="0" applyFont="1" applyFill="1" applyBorder="1" applyAlignment="1" applyProtection="1">
      <alignment horizontal="left" vertical="center" wrapText="1"/>
    </xf>
    <xf numFmtId="0" fontId="13" fillId="3" borderId="16"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5" fillId="4" borderId="12" xfId="0" applyFont="1" applyFill="1" applyBorder="1" applyAlignment="1" applyProtection="1">
      <alignment horizontal="center" vertical="center"/>
      <protection locked="0"/>
    </xf>
    <xf numFmtId="0" fontId="15" fillId="4" borderId="55" xfId="0" applyFont="1" applyFill="1" applyBorder="1" applyAlignment="1" applyProtection="1">
      <alignment horizontal="center" vertical="center"/>
      <protection locked="0"/>
    </xf>
    <xf numFmtId="0" fontId="15" fillId="4" borderId="56" xfId="0" applyFont="1" applyFill="1" applyBorder="1" applyAlignment="1" applyProtection="1">
      <alignment horizontal="center" vertical="center"/>
      <protection locked="0"/>
    </xf>
    <xf numFmtId="0" fontId="15" fillId="4" borderId="57"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0" fontId="15" fillId="3" borderId="28" xfId="0" applyFont="1" applyFill="1" applyBorder="1" applyAlignment="1" applyProtection="1">
      <alignment horizontal="center" vertical="center"/>
    </xf>
    <xf numFmtId="0" fontId="15" fillId="4" borderId="32" xfId="0" applyFont="1" applyFill="1" applyBorder="1" applyAlignment="1" applyProtection="1">
      <alignment horizontal="center" vertical="center"/>
      <protection locked="0"/>
    </xf>
    <xf numFmtId="0" fontId="19" fillId="3" borderId="61" xfId="0" applyFont="1" applyFill="1" applyBorder="1" applyAlignment="1" applyProtection="1">
      <alignment horizontal="center" vertical="center" wrapText="1"/>
    </xf>
    <xf numFmtId="0" fontId="15" fillId="4" borderId="10" xfId="0" applyFont="1" applyFill="1" applyBorder="1" applyAlignment="1" applyProtection="1">
      <alignment horizontal="center" vertical="center"/>
      <protection locked="0"/>
    </xf>
    <xf numFmtId="0" fontId="15" fillId="4" borderId="47" xfId="0" applyFont="1" applyFill="1" applyBorder="1" applyAlignment="1" applyProtection="1">
      <alignment horizontal="center" vertical="center"/>
      <protection locked="0"/>
    </xf>
    <xf numFmtId="0" fontId="15" fillId="4" borderId="36" xfId="0" applyFont="1" applyFill="1" applyBorder="1" applyAlignment="1" applyProtection="1">
      <alignment horizontal="center" vertical="center"/>
      <protection locked="0"/>
    </xf>
    <xf numFmtId="3" fontId="0" fillId="3" borderId="64" xfId="0" applyNumberFormat="1" applyFont="1" applyFill="1" applyBorder="1" applyAlignment="1" applyProtection="1">
      <alignment horizontal="center" vertical="center"/>
    </xf>
    <xf numFmtId="3" fontId="0" fillId="3" borderId="65" xfId="0" applyNumberFormat="1" applyFont="1" applyFill="1" applyBorder="1" applyAlignment="1" applyProtection="1">
      <alignment horizontal="center" vertical="center"/>
    </xf>
    <xf numFmtId="3" fontId="0" fillId="3" borderId="45" xfId="0" applyNumberFormat="1" applyFont="1" applyFill="1" applyBorder="1" applyAlignment="1" applyProtection="1">
      <alignment horizontal="center" vertical="center"/>
    </xf>
    <xf numFmtId="3" fontId="0" fillId="3" borderId="46" xfId="0" applyNumberFormat="1" applyFont="1" applyFill="1" applyBorder="1" applyAlignment="1" applyProtection="1">
      <alignment horizontal="center" vertical="center"/>
    </xf>
    <xf numFmtId="164" fontId="15" fillId="5" borderId="24" xfId="0" applyNumberFormat="1" applyFont="1" applyFill="1" applyBorder="1" applyAlignment="1" applyProtection="1">
      <alignment horizontal="center" vertical="center"/>
    </xf>
    <xf numFmtId="164" fontId="15" fillId="5" borderId="28" xfId="0" applyNumberFormat="1" applyFont="1" applyFill="1" applyBorder="1" applyAlignment="1" applyProtection="1">
      <alignment horizontal="center" vertical="center"/>
    </xf>
    <xf numFmtId="0" fontId="0" fillId="3" borderId="32"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3" fontId="0" fillId="3" borderId="32" xfId="0" applyNumberFormat="1" applyFont="1" applyFill="1" applyBorder="1" applyAlignment="1" applyProtection="1">
      <alignment horizontal="center" vertical="center"/>
    </xf>
    <xf numFmtId="3" fontId="0" fillId="3" borderId="33" xfId="0" applyNumberFormat="1" applyFont="1" applyFill="1" applyBorder="1" applyAlignment="1" applyProtection="1">
      <alignment horizontal="center" vertical="center"/>
    </xf>
    <xf numFmtId="0" fontId="1" fillId="3" borderId="58" xfId="0" applyFont="1" applyFill="1" applyBorder="1" applyAlignment="1" applyProtection="1">
      <alignment horizontal="center" vertical="center" wrapText="1"/>
    </xf>
    <xf numFmtId="0" fontId="1" fillId="3" borderId="63" xfId="0" applyFont="1" applyFill="1" applyBorder="1" applyAlignment="1" applyProtection="1">
      <alignment horizontal="center" vertical="center" wrapText="1"/>
    </xf>
    <xf numFmtId="0" fontId="0" fillId="3" borderId="25"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3" borderId="44" xfId="0" applyFont="1" applyFill="1"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1" fillId="3" borderId="81"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40" fillId="3" borderId="81" xfId="0" applyFont="1" applyFill="1" applyBorder="1" applyAlignment="1" applyProtection="1">
      <alignment horizontal="center" vertical="center" wrapText="1"/>
    </xf>
    <xf numFmtId="0" fontId="40" fillId="3" borderId="38" xfId="0" applyFont="1" applyFill="1" applyBorder="1" applyAlignment="1" applyProtection="1">
      <alignment horizontal="center" vertical="center" wrapText="1"/>
    </xf>
    <xf numFmtId="0" fontId="40" fillId="3" borderId="15" xfId="0" applyFont="1" applyFill="1" applyBorder="1" applyAlignment="1" applyProtection="1">
      <alignment horizontal="center" vertical="center" wrapText="1"/>
    </xf>
    <xf numFmtId="0" fontId="27" fillId="3" borderId="23" xfId="0" applyFont="1" applyFill="1" applyBorder="1" applyAlignment="1" applyProtection="1">
      <alignment horizontal="center" vertical="center"/>
    </xf>
    <xf numFmtId="0" fontId="27" fillId="3" borderId="44" xfId="0" applyFont="1" applyFill="1" applyBorder="1" applyAlignment="1" applyProtection="1">
      <alignment horizontal="center" vertical="center"/>
    </xf>
    <xf numFmtId="0" fontId="27" fillId="3" borderId="27" xfId="0" applyFont="1" applyFill="1" applyBorder="1" applyAlignment="1" applyProtection="1">
      <alignment horizontal="center" vertical="center"/>
    </xf>
    <xf numFmtId="165" fontId="15" fillId="5" borderId="32" xfId="5" applyNumberFormat="1" applyFont="1" applyFill="1" applyBorder="1" applyAlignment="1" applyProtection="1">
      <alignment horizontal="center" vertical="center"/>
    </xf>
    <xf numFmtId="165" fontId="15" fillId="5" borderId="33" xfId="5" applyNumberFormat="1" applyFont="1" applyFill="1" applyBorder="1" applyAlignment="1" applyProtection="1">
      <alignment horizontal="center" vertical="center"/>
    </xf>
    <xf numFmtId="164" fontId="15" fillId="5" borderId="32" xfId="0" applyNumberFormat="1" applyFont="1" applyFill="1" applyBorder="1" applyAlignment="1" applyProtection="1">
      <alignment horizontal="center" vertical="center"/>
    </xf>
    <xf numFmtId="164" fontId="15" fillId="5" borderId="33" xfId="0" applyNumberFormat="1" applyFont="1" applyFill="1" applyBorder="1" applyAlignment="1" applyProtection="1">
      <alignment horizontal="center" vertical="center"/>
    </xf>
    <xf numFmtId="0" fontId="15" fillId="4" borderId="39" xfId="0" applyFont="1" applyFill="1" applyBorder="1" applyAlignment="1" applyProtection="1">
      <alignment horizontal="center" vertical="center"/>
      <protection locked="0"/>
    </xf>
    <xf numFmtId="0" fontId="15" fillId="4" borderId="40"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4" borderId="35" xfId="0" applyFont="1" applyFill="1" applyBorder="1" applyAlignment="1" applyProtection="1">
      <alignment horizontal="center" vertical="center"/>
      <protection locked="0"/>
    </xf>
    <xf numFmtId="3" fontId="15" fillId="4" borderId="39" xfId="0" applyNumberFormat="1" applyFont="1" applyFill="1" applyBorder="1" applyAlignment="1" applyProtection="1">
      <alignment horizontal="center" vertical="center" wrapText="1"/>
      <protection locked="0"/>
    </xf>
    <xf numFmtId="3" fontId="15" fillId="4" borderId="40" xfId="0" applyNumberFormat="1" applyFont="1" applyFill="1" applyBorder="1" applyAlignment="1" applyProtection="1">
      <alignment horizontal="center" vertical="center" wrapText="1"/>
      <protection locked="0"/>
    </xf>
    <xf numFmtId="0" fontId="0" fillId="5" borderId="32" xfId="0" applyFont="1" applyFill="1" applyBorder="1" applyAlignment="1" applyProtection="1">
      <alignment horizontal="center" vertical="center"/>
    </xf>
    <xf numFmtId="0" fontId="0" fillId="5" borderId="33" xfId="0" applyFont="1" applyFill="1" applyBorder="1" applyAlignment="1" applyProtection="1">
      <alignment horizontal="center" vertical="center"/>
    </xf>
    <xf numFmtId="3" fontId="9" fillId="3" borderId="34" xfId="0" applyNumberFormat="1" applyFont="1" applyFill="1" applyBorder="1" applyAlignment="1" applyProtection="1">
      <alignment horizontal="center" vertical="center" wrapText="1"/>
    </xf>
    <xf numFmtId="3" fontId="9" fillId="3" borderId="35" xfId="0" applyNumberFormat="1" applyFont="1" applyFill="1" applyBorder="1" applyAlignment="1" applyProtection="1">
      <alignment horizontal="center" vertical="center" wrapText="1"/>
    </xf>
    <xf numFmtId="165" fontId="13" fillId="3" borderId="34" xfId="5" applyNumberFormat="1" applyFont="1" applyFill="1" applyBorder="1" applyAlignment="1" applyProtection="1">
      <alignment horizontal="center" vertical="center"/>
    </xf>
    <xf numFmtId="165" fontId="13" fillId="3" borderId="5" xfId="5" applyNumberFormat="1" applyFont="1" applyFill="1" applyBorder="1" applyAlignment="1" applyProtection="1">
      <alignment horizontal="center" vertical="center"/>
    </xf>
    <xf numFmtId="165" fontId="13" fillId="3" borderId="35" xfId="5" applyNumberFormat="1" applyFont="1" applyFill="1" applyBorder="1" applyAlignment="1" applyProtection="1">
      <alignment horizontal="center" vertical="center"/>
    </xf>
    <xf numFmtId="164" fontId="13" fillId="3" borderId="34" xfId="0" applyNumberFormat="1" applyFont="1" applyFill="1" applyBorder="1" applyAlignment="1" applyProtection="1">
      <alignment horizontal="center" vertical="center"/>
    </xf>
    <xf numFmtId="164" fontId="13" fillId="3" borderId="5" xfId="0" applyNumberFormat="1" applyFont="1" applyFill="1" applyBorder="1" applyAlignment="1" applyProtection="1">
      <alignment horizontal="center" vertical="center"/>
    </xf>
    <xf numFmtId="164" fontId="13" fillId="3" borderId="35" xfId="0" applyNumberFormat="1" applyFont="1" applyFill="1" applyBorder="1" applyAlignment="1" applyProtection="1">
      <alignment horizontal="center" vertical="center"/>
    </xf>
    <xf numFmtId="164" fontId="2" fillId="5" borderId="25" xfId="0" applyNumberFormat="1" applyFont="1" applyFill="1" applyBorder="1" applyAlignment="1" applyProtection="1">
      <alignment horizontal="center" vertical="center"/>
    </xf>
    <xf numFmtId="164" fontId="2" fillId="5" borderId="29" xfId="0" applyNumberFormat="1" applyFont="1" applyFill="1" applyBorder="1" applyAlignment="1" applyProtection="1">
      <alignment horizontal="center" vertical="center"/>
    </xf>
    <xf numFmtId="164" fontId="2" fillId="5" borderId="19" xfId="0" applyNumberFormat="1" applyFont="1" applyFill="1" applyBorder="1" applyAlignment="1" applyProtection="1">
      <alignment horizontal="center" vertical="center"/>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protection locked="0"/>
    </xf>
    <xf numFmtId="164" fontId="13" fillId="5" borderId="66" xfId="0" applyNumberFormat="1" applyFont="1" applyFill="1" applyBorder="1" applyAlignment="1" applyProtection="1">
      <alignment horizontal="center" vertical="center" wrapText="1"/>
    </xf>
    <xf numFmtId="164" fontId="13" fillId="4" borderId="11" xfId="0" applyNumberFormat="1" applyFont="1" applyFill="1" applyBorder="1" applyAlignment="1" applyProtection="1">
      <alignment horizontal="center" vertical="center"/>
      <protection locked="0"/>
    </xf>
    <xf numFmtId="164" fontId="13" fillId="3" borderId="3" xfId="0" applyNumberFormat="1" applyFont="1" applyFill="1" applyBorder="1" applyAlignment="1" applyProtection="1">
      <alignment horizontal="center" vertical="center"/>
    </xf>
    <xf numFmtId="164" fontId="16" fillId="3" borderId="3" xfId="0" applyNumberFormat="1" applyFont="1" applyFill="1" applyBorder="1" applyAlignment="1" applyProtection="1">
      <alignment horizontal="center" vertical="center"/>
    </xf>
    <xf numFmtId="164" fontId="13" fillId="5" borderId="64" xfId="0" applyNumberFormat="1" applyFont="1" applyFill="1" applyBorder="1" applyAlignment="1" applyProtection="1">
      <alignment horizontal="center" vertical="center"/>
    </xf>
    <xf numFmtId="164" fontId="13" fillId="5" borderId="66" xfId="0" applyNumberFormat="1" applyFont="1" applyFill="1" applyBorder="1" applyAlignment="1" applyProtection="1">
      <alignment horizontal="center" vertical="center"/>
    </xf>
    <xf numFmtId="164" fontId="13" fillId="5" borderId="65" xfId="0" applyNumberFormat="1" applyFont="1" applyFill="1" applyBorder="1" applyAlignment="1" applyProtection="1">
      <alignment horizontal="center" vertical="center"/>
    </xf>
    <xf numFmtId="3" fontId="3" fillId="3" borderId="45" xfId="0" applyNumberFormat="1" applyFont="1" applyFill="1" applyBorder="1" applyAlignment="1" applyProtection="1">
      <alignment horizontal="center" vertical="center"/>
    </xf>
    <xf numFmtId="3" fontId="3" fillId="3" borderId="53" xfId="0" applyNumberFormat="1" applyFont="1" applyFill="1" applyBorder="1" applyAlignment="1" applyProtection="1">
      <alignment horizontal="center" vertical="center"/>
    </xf>
    <xf numFmtId="3" fontId="3" fillId="3" borderId="46" xfId="0" applyNumberFormat="1" applyFont="1" applyFill="1" applyBorder="1" applyAlignment="1" applyProtection="1">
      <alignment horizontal="center" vertical="center"/>
    </xf>
    <xf numFmtId="3" fontId="3" fillId="3" borderId="32" xfId="0" applyNumberFormat="1" applyFont="1" applyFill="1" applyBorder="1" applyAlignment="1" applyProtection="1">
      <alignment horizontal="center" vertical="center"/>
    </xf>
    <xf numFmtId="3" fontId="3" fillId="3" borderId="3" xfId="0" applyNumberFormat="1" applyFont="1" applyFill="1" applyBorder="1" applyAlignment="1" applyProtection="1">
      <alignment horizontal="center" vertical="center"/>
    </xf>
    <xf numFmtId="3" fontId="3" fillId="3" borderId="33" xfId="0" applyNumberFormat="1" applyFont="1" applyFill="1" applyBorder="1" applyAlignment="1" applyProtection="1">
      <alignment horizontal="center" vertical="center"/>
    </xf>
    <xf numFmtId="164" fontId="3" fillId="4" borderId="32" xfId="0" applyNumberFormat="1" applyFont="1" applyFill="1" applyBorder="1" applyAlignment="1" applyProtection="1">
      <alignment horizontal="center" vertical="center"/>
      <protection locked="0"/>
    </xf>
    <xf numFmtId="164" fontId="3" fillId="4" borderId="3" xfId="0" applyNumberFormat="1" applyFont="1" applyFill="1" applyBorder="1" applyAlignment="1" applyProtection="1">
      <alignment horizontal="center" vertical="center"/>
      <protection locked="0"/>
    </xf>
    <xf numFmtId="164" fontId="3" fillId="4" borderId="33" xfId="0" applyNumberFormat="1" applyFont="1" applyFill="1" applyBorder="1" applyAlignment="1" applyProtection="1">
      <alignment horizontal="center" vertical="center"/>
      <protection locked="0"/>
    </xf>
    <xf numFmtId="164" fontId="13" fillId="5" borderId="32" xfId="0" applyNumberFormat="1" applyFont="1" applyFill="1" applyBorder="1" applyAlignment="1" applyProtection="1">
      <alignment horizontal="center" vertical="center"/>
    </xf>
    <xf numFmtId="164" fontId="13" fillId="5" borderId="3" xfId="0" applyNumberFormat="1" applyFont="1" applyFill="1" applyBorder="1" applyAlignment="1" applyProtection="1">
      <alignment horizontal="center" vertical="center"/>
    </xf>
    <xf numFmtId="164" fontId="13" fillId="5" borderId="33" xfId="0" applyNumberFormat="1"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3" fontId="13" fillId="4" borderId="45" xfId="0" applyNumberFormat="1" applyFont="1" applyFill="1" applyBorder="1" applyAlignment="1" applyProtection="1">
      <alignment horizontal="center" vertical="center" wrapText="1"/>
      <protection locked="0"/>
    </xf>
    <xf numFmtId="3" fontId="13" fillId="4" borderId="53" xfId="0" applyNumberFormat="1" applyFont="1" applyFill="1" applyBorder="1" applyAlignment="1" applyProtection="1">
      <alignment horizontal="center" vertical="center" wrapText="1"/>
      <protection locked="0"/>
    </xf>
    <xf numFmtId="166" fontId="13" fillId="4" borderId="3" xfId="0" applyNumberFormat="1"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3" fontId="13" fillId="4" borderId="46" xfId="0" applyNumberFormat="1"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13" fillId="3" borderId="29"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164" fontId="13" fillId="4" borderId="11" xfId="0" applyNumberFormat="1" applyFont="1" applyFill="1" applyBorder="1" applyAlignment="1" applyProtection="1">
      <alignment horizontal="center" vertical="center"/>
    </xf>
    <xf numFmtId="3" fontId="3" fillId="5" borderId="52" xfId="0" applyNumberFormat="1" applyFont="1" applyFill="1" applyBorder="1" applyAlignment="1" applyProtection="1">
      <alignment horizontal="center" vertical="center"/>
    </xf>
    <xf numFmtId="3" fontId="3" fillId="5" borderId="53" xfId="0" applyNumberFormat="1" applyFont="1" applyFill="1" applyBorder="1" applyAlignment="1" applyProtection="1">
      <alignment horizontal="center" vertical="center"/>
    </xf>
    <xf numFmtId="3" fontId="3" fillId="5" borderId="46" xfId="0" applyNumberFormat="1" applyFont="1" applyFill="1" applyBorder="1" applyAlignment="1" applyProtection="1">
      <alignment horizontal="center" vertical="center"/>
    </xf>
    <xf numFmtId="3" fontId="3" fillId="5" borderId="51" xfId="0" applyNumberFormat="1" applyFont="1" applyFill="1" applyBorder="1" applyAlignment="1" applyProtection="1">
      <alignment horizontal="center" vertical="center"/>
    </xf>
    <xf numFmtId="3" fontId="3" fillId="5" borderId="66" xfId="0" applyNumberFormat="1" applyFont="1" applyFill="1" applyBorder="1" applyAlignment="1" applyProtection="1">
      <alignment horizontal="center" vertical="center"/>
    </xf>
    <xf numFmtId="3" fontId="3" fillId="5" borderId="65" xfId="0" applyNumberFormat="1" applyFont="1" applyFill="1" applyBorder="1" applyAlignment="1" applyProtection="1">
      <alignment horizontal="center" vertical="center"/>
    </xf>
    <xf numFmtId="3" fontId="3" fillId="5" borderId="6" xfId="0" applyNumberFormat="1" applyFont="1" applyFill="1" applyBorder="1" applyAlignment="1" applyProtection="1">
      <alignment horizontal="center" vertical="center"/>
    </xf>
    <xf numFmtId="3" fontId="3" fillId="5" borderId="3" xfId="0" applyNumberFormat="1" applyFont="1" applyFill="1" applyBorder="1" applyAlignment="1" applyProtection="1">
      <alignment horizontal="center" vertical="center"/>
    </xf>
    <xf numFmtId="3" fontId="3" fillId="5" borderId="33" xfId="0" applyNumberFormat="1" applyFont="1" applyFill="1" applyBorder="1" applyAlignment="1" applyProtection="1">
      <alignment horizontal="center" vertical="center"/>
    </xf>
    <xf numFmtId="164" fontId="13" fillId="5" borderId="9" xfId="0" applyNumberFormat="1" applyFont="1" applyFill="1" applyBorder="1" applyAlignment="1" applyProtection="1">
      <alignment horizontal="center" vertical="center"/>
    </xf>
    <xf numFmtId="0" fontId="3" fillId="5" borderId="34" xfId="0" applyFont="1" applyFill="1" applyBorder="1" applyAlignment="1" applyProtection="1">
      <alignment horizontal="center" vertical="center"/>
    </xf>
    <xf numFmtId="0" fontId="3" fillId="5" borderId="35" xfId="0" applyFont="1" applyFill="1" applyBorder="1" applyAlignment="1" applyProtection="1">
      <alignment horizontal="center" vertical="center"/>
    </xf>
    <xf numFmtId="164" fontId="13" fillId="5" borderId="26" xfId="0" applyNumberFormat="1" applyFont="1" applyFill="1" applyBorder="1" applyAlignment="1" applyProtection="1">
      <alignment horizontal="center" vertical="center"/>
    </xf>
    <xf numFmtId="164" fontId="13" fillId="5" borderId="13" xfId="0" applyNumberFormat="1" applyFont="1" applyFill="1" applyBorder="1" applyAlignment="1" applyProtection="1">
      <alignment horizontal="center" vertical="center"/>
    </xf>
    <xf numFmtId="164" fontId="13" fillId="5" borderId="55" xfId="0" applyNumberFormat="1" applyFont="1" applyFill="1" applyBorder="1" applyAlignment="1" applyProtection="1">
      <alignment horizontal="center" vertical="center"/>
    </xf>
    <xf numFmtId="164" fontId="2" fillId="5" borderId="48" xfId="0" applyNumberFormat="1" applyFont="1" applyFill="1" applyBorder="1" applyAlignment="1" applyProtection="1">
      <alignment horizontal="center"/>
    </xf>
    <xf numFmtId="164" fontId="2" fillId="5" borderId="49" xfId="0" applyNumberFormat="1" applyFont="1" applyFill="1" applyBorder="1" applyAlignment="1" applyProtection="1">
      <alignment horizontal="center"/>
    </xf>
    <xf numFmtId="0" fontId="0" fillId="3" borderId="23" xfId="0" applyFont="1" applyFill="1" applyBorder="1" applyAlignment="1" applyProtection="1">
      <alignment horizontal="left" vertical="center"/>
    </xf>
    <xf numFmtId="0" fontId="0" fillId="3" borderId="44" xfId="0" applyFont="1" applyFill="1" applyBorder="1" applyAlignment="1" applyProtection="1">
      <alignment horizontal="left" vertical="center"/>
    </xf>
    <xf numFmtId="0" fontId="0" fillId="3" borderId="27" xfId="0" applyFont="1" applyFill="1" applyBorder="1" applyAlignment="1" applyProtection="1">
      <alignment horizontal="left" vertical="center"/>
    </xf>
    <xf numFmtId="0" fontId="1" fillId="3" borderId="30" xfId="0" applyFont="1" applyFill="1" applyBorder="1" applyAlignment="1" applyProtection="1">
      <alignment horizontal="center" vertical="center" wrapText="1"/>
    </xf>
    <xf numFmtId="0" fontId="1" fillId="3" borderId="31" xfId="0" applyFont="1" applyFill="1" applyBorder="1" applyAlignment="1" applyProtection="1">
      <alignment horizontal="center" vertical="center" wrapText="1"/>
    </xf>
    <xf numFmtId="0" fontId="40" fillId="3" borderId="30" xfId="0" applyFont="1" applyFill="1" applyBorder="1" applyAlignment="1" applyProtection="1">
      <alignment horizontal="center" vertical="center" wrapText="1"/>
    </xf>
    <xf numFmtId="0" fontId="40" fillId="3" borderId="31" xfId="0" applyFont="1" applyFill="1" applyBorder="1" applyAlignment="1" applyProtection="1">
      <alignment horizontal="center" vertical="center" wrapText="1"/>
    </xf>
    <xf numFmtId="0" fontId="1" fillId="3" borderId="4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25" fillId="3" borderId="16" xfId="0" applyFont="1" applyFill="1" applyBorder="1" applyAlignment="1" applyProtection="1">
      <alignment horizontal="center" vertical="center"/>
    </xf>
    <xf numFmtId="0" fontId="25" fillId="3" borderId="17" xfId="0" applyFont="1" applyFill="1" applyBorder="1" applyAlignment="1" applyProtection="1">
      <alignment horizontal="center" vertical="center"/>
    </xf>
    <xf numFmtId="0" fontId="25" fillId="3" borderId="18"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0" fillId="4" borderId="32"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41" xfId="0" applyFont="1" applyFill="1" applyBorder="1" applyAlignment="1" applyProtection="1">
      <alignment horizontal="center" vertical="center"/>
      <protection locked="0"/>
    </xf>
    <xf numFmtId="0" fontId="0" fillId="4" borderId="42" xfId="0" applyFont="1" applyFill="1" applyBorder="1" applyAlignment="1" applyProtection="1">
      <alignment horizontal="center" vertical="center"/>
      <protection locked="0"/>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3" borderId="24" xfId="0" applyFont="1" applyFill="1" applyBorder="1" applyAlignment="1" applyProtection="1">
      <alignment horizontal="center" vertical="center"/>
    </xf>
    <xf numFmtId="0" fontId="0" fillId="3" borderId="28" xfId="0" applyFont="1" applyFill="1" applyBorder="1" applyAlignment="1" applyProtection="1">
      <alignment horizontal="center" vertical="center"/>
    </xf>
    <xf numFmtId="0" fontId="0" fillId="3" borderId="23" xfId="0" applyFont="1" applyFill="1" applyBorder="1" applyAlignment="1" applyProtection="1">
      <alignment horizontal="left" vertical="center" wrapText="1"/>
    </xf>
    <xf numFmtId="0" fontId="0" fillId="3" borderId="44" xfId="0" applyFont="1" applyFill="1" applyBorder="1" applyAlignment="1" applyProtection="1">
      <alignment horizontal="left" vertical="center" wrapText="1"/>
    </xf>
    <xf numFmtId="0" fontId="0" fillId="3" borderId="27" xfId="0" applyFont="1" applyFill="1" applyBorder="1" applyAlignment="1" applyProtection="1">
      <alignment horizontal="left" vertical="center" wrapText="1"/>
    </xf>
    <xf numFmtId="0" fontId="30" fillId="3" borderId="23" xfId="0" applyFont="1" applyFill="1" applyBorder="1" applyAlignment="1" applyProtection="1">
      <alignment horizontal="center" vertical="center"/>
    </xf>
    <xf numFmtId="0" fontId="30" fillId="3" borderId="44" xfId="0" applyFont="1" applyFill="1" applyBorder="1" applyAlignment="1" applyProtection="1">
      <alignment horizontal="center" vertical="center"/>
    </xf>
    <xf numFmtId="0" fontId="30" fillId="3" borderId="27" xfId="0" applyFont="1" applyFill="1" applyBorder="1" applyAlignment="1" applyProtection="1">
      <alignment horizontal="center" vertical="center"/>
    </xf>
    <xf numFmtId="0" fontId="30" fillId="3" borderId="24"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30" fillId="3" borderId="28" xfId="0" applyFont="1" applyFill="1" applyBorder="1" applyAlignment="1" applyProtection="1">
      <alignment horizontal="center" vertical="center"/>
    </xf>
    <xf numFmtId="0" fontId="30" fillId="3" borderId="25" xfId="0" applyFont="1" applyFill="1" applyBorder="1" applyAlignment="1" applyProtection="1">
      <alignment horizontal="center" vertical="center"/>
    </xf>
    <xf numFmtId="0" fontId="30" fillId="3" borderId="19" xfId="0" applyFont="1" applyFill="1" applyBorder="1" applyAlignment="1" applyProtection="1">
      <alignment horizontal="center" vertical="center"/>
    </xf>
    <xf numFmtId="0" fontId="30" fillId="3" borderId="29" xfId="0" applyFont="1" applyFill="1" applyBorder="1" applyAlignment="1" applyProtection="1">
      <alignment horizontal="center" vertical="center"/>
    </xf>
    <xf numFmtId="0" fontId="29" fillId="2" borderId="90" xfId="0" applyFont="1" applyFill="1" applyBorder="1" applyAlignment="1" applyProtection="1">
      <alignment horizontal="left" vertical="center" wrapText="1"/>
    </xf>
    <xf numFmtId="0" fontId="29" fillId="2" borderId="91" xfId="0" applyFont="1" applyFill="1" applyBorder="1" applyAlignment="1" applyProtection="1">
      <alignment horizontal="left" vertical="center" wrapText="1"/>
    </xf>
    <xf numFmtId="0" fontId="29" fillId="2" borderId="92" xfId="0" applyFont="1" applyFill="1" applyBorder="1" applyAlignment="1" applyProtection="1">
      <alignment horizontal="left" vertical="center" wrapText="1"/>
    </xf>
    <xf numFmtId="0" fontId="29" fillId="2" borderId="93" xfId="0" applyFont="1" applyFill="1" applyBorder="1" applyAlignment="1" applyProtection="1">
      <alignment horizontal="left" vertical="center" wrapText="1"/>
    </xf>
    <xf numFmtId="0" fontId="29" fillId="2" borderId="87" xfId="0" applyFont="1" applyFill="1" applyBorder="1" applyAlignment="1" applyProtection="1">
      <alignment horizontal="left" vertical="center" wrapText="1"/>
    </xf>
    <xf numFmtId="0" fontId="29" fillId="2" borderId="88" xfId="0" applyFont="1" applyFill="1" applyBorder="1" applyAlignment="1" applyProtection="1">
      <alignment horizontal="left" vertical="center" wrapText="1"/>
    </xf>
  </cellXfs>
  <cellStyles count="6">
    <cellStyle name="Comma" xfId="5" builtinId="3"/>
    <cellStyle name="Followed Hyperlink" xfId="2" builtinId="9" hidden="1"/>
    <cellStyle name="Followed Hyperlink" xfId="4" builtinId="9" hidden="1"/>
    <cellStyle name="Hyperlink" xfId="1" builtinId="8" hidden="1"/>
    <cellStyle name="Hyperlink" xfId="3" builtinId="8" hidden="1"/>
    <cellStyle name="Normal" xfId="0" builtinId="0"/>
  </cellStyles>
  <dxfs count="64">
    <dxf>
      <fill>
        <patternFill>
          <bgColor rgb="FFFF0000"/>
        </patternFill>
      </fill>
    </dxf>
    <dxf>
      <font>
        <strike val="0"/>
        <color rgb="FFFF0000"/>
      </font>
      <fill>
        <patternFill>
          <bgColor rgb="FFFF0000"/>
        </patternFill>
      </fill>
    </dxf>
    <dxf>
      <font>
        <strike val="0"/>
        <color rgb="FFFF0000"/>
      </font>
      <fill>
        <patternFill>
          <bgColor rgb="FFFF0000"/>
        </patternFill>
      </fill>
    </dxf>
    <dxf>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ill>
        <patternFill>
          <bgColor rgb="FFFF0000"/>
        </patternFill>
      </fill>
    </dxf>
    <dxf>
      <font>
        <strike val="0"/>
        <color rgb="FFFF0000"/>
      </font>
      <fill>
        <patternFill>
          <bgColor rgb="FFFF0000"/>
        </patternFill>
      </fill>
    </dxf>
    <dxf>
      <font>
        <strike val="0"/>
        <color rgb="FFFF0000"/>
      </font>
      <fill>
        <patternFill>
          <bgColor rgb="FFFF0000"/>
        </patternFill>
      </fill>
    </dxf>
    <dxf>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ill>
        <patternFill>
          <bgColor rgb="FFFF0000"/>
        </patternFill>
      </fill>
    </dxf>
    <dxf>
      <font>
        <strike val="0"/>
        <color rgb="FFFF0000"/>
      </font>
      <fill>
        <patternFill>
          <bgColor rgb="FFFF0000"/>
        </patternFill>
      </fill>
    </dxf>
    <dxf>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font>
      <fill>
        <patternFill>
          <bgColor rgb="FFFF0000"/>
        </patternFill>
      </fill>
    </dxf>
    <dxf>
      <font>
        <strike val="0"/>
      </font>
      <fill>
        <patternFill>
          <bgColor rgb="FFFF0000"/>
        </patternFill>
      </fill>
    </dxf>
    <dxf>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font>
      <fill>
        <patternFill>
          <bgColor rgb="FFFF0000"/>
        </patternFill>
      </fill>
    </dxf>
    <dxf>
      <font>
        <strike val="0"/>
      </font>
      <fill>
        <patternFill>
          <bgColor rgb="FFFF0000"/>
        </patternFill>
      </fill>
    </dxf>
    <dxf>
      <font>
        <strike val="0"/>
        <color rgb="FFFF0000"/>
      </font>
      <fill>
        <patternFill>
          <bgColor rgb="FFFF0000"/>
        </patternFill>
      </fill>
    </dxf>
    <dxf>
      <font>
        <strike val="0"/>
        <color rgb="FFFF0000"/>
      </font>
      <fill>
        <patternFill>
          <bgColor rgb="FFFF0000"/>
        </patternFill>
      </fill>
    </dxf>
    <dxf>
      <fill>
        <patternFill>
          <bgColor rgb="FFFF0000"/>
        </patternFill>
      </fill>
    </dxf>
    <dxf>
      <font>
        <strike val="0"/>
        <color rgb="FFFF0000"/>
      </font>
      <fill>
        <patternFill>
          <bgColor rgb="FFFF0000"/>
        </patternFill>
      </fill>
    </dxf>
    <dxf>
      <fill>
        <patternFill>
          <bgColor rgb="FFFF0000"/>
        </patternFill>
      </fill>
    </dxf>
    <dxf>
      <font>
        <strike val="0"/>
        <color rgb="FFFF0000"/>
      </font>
      <fill>
        <patternFill>
          <bgColor rgb="FFFF0000"/>
        </patternFill>
      </fill>
    </dxf>
    <dxf>
      <font>
        <strike val="0"/>
        <color rgb="FFFF0000"/>
      </font>
      <fill>
        <patternFill>
          <bgColor rgb="FFFF0000"/>
        </patternFill>
      </fill>
    </dxf>
    <dxf>
      <fill>
        <patternFill>
          <bgColor rgb="FFFF0000"/>
        </patternFill>
      </fill>
    </dxf>
    <dxf>
      <font>
        <strike val="0"/>
        <color rgb="FFFF0000"/>
      </font>
      <fill>
        <patternFill>
          <bgColor rgb="FFFF0000"/>
        </patternFill>
      </fill>
    </dxf>
    <dxf>
      <font>
        <strike val="0"/>
        <color rgb="FFFF0000"/>
      </font>
      <fill>
        <patternFill>
          <bgColor rgb="FFFF0000"/>
        </patternFill>
      </fill>
    </dxf>
  </dxfs>
  <tableStyles count="0" defaultTableStyle="TableStyleMedium2" defaultPivotStyle="PivotStyleLight16"/>
  <colors>
    <mruColors>
      <color rgb="FFCC0066"/>
      <color rgb="FF82F767"/>
      <color rgb="FFFF66FF"/>
      <color rgb="FFF5B5EC"/>
      <color rgb="FF66FF66"/>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3"/>
  <sheetViews>
    <sheetView zoomScale="70" zoomScaleNormal="70" zoomScalePageLayoutView="55" workbookViewId="0">
      <selection activeCell="B24" sqref="B24"/>
    </sheetView>
  </sheetViews>
  <sheetFormatPr defaultRowHeight="17.25"/>
  <cols>
    <col min="1" max="1" width="4.7109375" style="156" customWidth="1"/>
    <col min="2" max="2" width="24.7109375" style="157" customWidth="1"/>
    <col min="3" max="3" width="100.5703125" style="157" bestFit="1" customWidth="1"/>
    <col min="4" max="4" width="14.5703125" style="157" customWidth="1"/>
    <col min="5" max="5" width="3.7109375" style="156" customWidth="1"/>
    <col min="6" max="6" width="27.85546875" style="167" customWidth="1"/>
    <col min="7" max="7" width="5.7109375" style="156" customWidth="1"/>
    <col min="8" max="8" width="47.5703125" style="156" customWidth="1"/>
    <col min="9" max="16384" width="9.140625" style="183"/>
  </cols>
  <sheetData>
    <row r="2" spans="1:8" ht="27.75" customHeight="1">
      <c r="B2" s="158" t="s">
        <v>115</v>
      </c>
    </row>
    <row r="3" spans="1:8" ht="27.75" customHeight="1">
      <c r="A3" s="157"/>
      <c r="B3" s="161" t="s">
        <v>117</v>
      </c>
      <c r="F3" s="158"/>
    </row>
    <row r="4" spans="1:8">
      <c r="A4" s="157"/>
    </row>
    <row r="5" spans="1:8" ht="37.5" customHeight="1">
      <c r="A5" s="157"/>
      <c r="B5" s="211" t="s">
        <v>116</v>
      </c>
      <c r="C5" s="211"/>
      <c r="D5" s="211"/>
      <c r="E5" s="211"/>
      <c r="F5" s="211"/>
      <c r="G5" s="211"/>
      <c r="H5" s="211"/>
    </row>
    <row r="7" spans="1:8" ht="39" customHeight="1">
      <c r="B7" s="211" t="s">
        <v>125</v>
      </c>
      <c r="C7" s="211"/>
      <c r="D7" s="211"/>
      <c r="E7" s="211"/>
      <c r="F7" s="211"/>
      <c r="G7" s="211"/>
      <c r="H7" s="211"/>
    </row>
    <row r="8" spans="1:8">
      <c r="B8" s="159" t="s">
        <v>98</v>
      </c>
    </row>
    <row r="9" spans="1:8">
      <c r="B9" s="159" t="s">
        <v>113</v>
      </c>
    </row>
    <row r="10" spans="1:8">
      <c r="B10" s="159" t="s">
        <v>114</v>
      </c>
    </row>
    <row r="11" spans="1:8">
      <c r="B11" s="159"/>
    </row>
    <row r="12" spans="1:8">
      <c r="B12" s="159" t="s">
        <v>108</v>
      </c>
    </row>
    <row r="14" spans="1:8" ht="21">
      <c r="B14" s="172" t="s">
        <v>99</v>
      </c>
      <c r="C14" s="173"/>
      <c r="D14" s="173"/>
      <c r="E14" s="173"/>
      <c r="F14" s="173"/>
    </row>
    <row r="15" spans="1:8">
      <c r="A15" s="160"/>
      <c r="B15" s="198" t="s">
        <v>100</v>
      </c>
      <c r="C15" s="198" t="s">
        <v>101</v>
      </c>
      <c r="D15" s="198"/>
      <c r="E15" s="198"/>
      <c r="F15" s="198"/>
      <c r="G15" s="160"/>
      <c r="H15" s="160"/>
    </row>
    <row r="16" spans="1:8">
      <c r="A16" s="160"/>
      <c r="B16" s="198" t="s">
        <v>111</v>
      </c>
      <c r="C16" s="198" t="s">
        <v>112</v>
      </c>
      <c r="D16" s="198"/>
      <c r="E16" s="198"/>
      <c r="F16" s="174" t="s">
        <v>111</v>
      </c>
      <c r="G16" s="160"/>
      <c r="H16" s="160"/>
    </row>
    <row r="17" spans="1:8">
      <c r="A17" s="160"/>
      <c r="B17" s="198" t="s">
        <v>102</v>
      </c>
      <c r="C17" s="198" t="s">
        <v>103</v>
      </c>
      <c r="D17" s="198"/>
      <c r="E17" s="198"/>
      <c r="F17" s="175" t="s">
        <v>104</v>
      </c>
      <c r="G17" s="160"/>
      <c r="H17" s="160"/>
    </row>
    <row r="18" spans="1:8">
      <c r="A18" s="160"/>
      <c r="B18" s="198" t="s">
        <v>105</v>
      </c>
      <c r="C18" s="212" t="s">
        <v>110</v>
      </c>
      <c r="D18" s="212"/>
      <c r="E18" s="212"/>
      <c r="F18" s="176" t="s">
        <v>109</v>
      </c>
      <c r="G18" s="160"/>
      <c r="H18" s="160"/>
    </row>
    <row r="19" spans="1:8">
      <c r="A19" s="160"/>
      <c r="B19" s="198" t="s">
        <v>106</v>
      </c>
      <c r="C19" s="198" t="s">
        <v>107</v>
      </c>
      <c r="D19" s="198"/>
      <c r="E19" s="198"/>
      <c r="F19" s="177" t="s">
        <v>106</v>
      </c>
      <c r="G19" s="160"/>
      <c r="H19" s="160"/>
    </row>
    <row r="20" spans="1:8">
      <c r="A20" s="160"/>
      <c r="B20" s="212"/>
      <c r="C20" s="212"/>
      <c r="D20" s="212"/>
      <c r="E20" s="212"/>
      <c r="F20" s="178"/>
      <c r="G20" s="160"/>
      <c r="H20" s="160"/>
    </row>
    <row r="21" spans="1:8">
      <c r="A21" s="160"/>
      <c r="B21" s="212"/>
      <c r="C21" s="212"/>
      <c r="D21" s="212"/>
      <c r="E21" s="212"/>
      <c r="F21" s="178"/>
      <c r="G21" s="160"/>
      <c r="H21" s="160"/>
    </row>
    <row r="22" spans="1:8">
      <c r="A22" s="160"/>
      <c r="B22" s="198"/>
      <c r="C22" s="198"/>
      <c r="D22" s="198"/>
      <c r="E22" s="198"/>
      <c r="F22" s="198"/>
      <c r="G22" s="160"/>
      <c r="H22" s="160"/>
    </row>
    <row r="23" spans="1:8">
      <c r="B23" s="210" t="s">
        <v>154</v>
      </c>
    </row>
  </sheetData>
  <sheetProtection password="DE76" sheet="1" objects="1" scenarios="1"/>
  <mergeCells count="5">
    <mergeCell ref="B5:H5"/>
    <mergeCell ref="B7:H7"/>
    <mergeCell ref="C18:E18"/>
    <mergeCell ref="B20:B21"/>
    <mergeCell ref="C20:E21"/>
  </mergeCells>
  <pageMargins left="0.7" right="0.7" top="0.75" bottom="0.75" header="0.3" footer="0.3"/>
  <pageSetup scale="53" orientation="landscape" r:id="rId1"/>
  <headerFooter>
    <oddHeader>&amp;C&amp;F
Last Edit: xx-04-2017</oddHeader>
    <oddFooter>&amp;R&amp;P of&amp;N
&amp;D &amp;T
&amp;F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7"/>
  <sheetViews>
    <sheetView zoomScale="55" zoomScaleNormal="55" zoomScaleSheetLayoutView="25" zoomScalePageLayoutView="70" workbookViewId="0">
      <selection activeCell="H10" sqref="H10:I10"/>
    </sheetView>
  </sheetViews>
  <sheetFormatPr defaultColWidth="8.85546875" defaultRowHeight="15"/>
  <cols>
    <col min="1" max="1" width="69.140625" style="6" customWidth="1"/>
    <col min="2" max="11" width="29.85546875" style="6" customWidth="1"/>
    <col min="12" max="16384" width="8.85546875" style="6"/>
  </cols>
  <sheetData>
    <row r="1" spans="1:9" ht="41.25" customHeight="1" thickBot="1">
      <c r="A1" s="155" t="s">
        <v>91</v>
      </c>
      <c r="B1" s="213"/>
      <c r="C1" s="214"/>
    </row>
    <row r="2" spans="1:9" ht="41.25" customHeight="1" thickBot="1"/>
    <row r="3" spans="1:9" s="2" customFormat="1" ht="85.5" customHeight="1" thickBot="1">
      <c r="A3" s="246" t="s">
        <v>26</v>
      </c>
      <c r="B3" s="247"/>
      <c r="C3" s="247"/>
      <c r="D3" s="247"/>
      <c r="E3" s="247"/>
      <c r="F3" s="247"/>
      <c r="G3" s="248"/>
      <c r="H3" s="1"/>
      <c r="I3" s="1"/>
    </row>
    <row r="4" spans="1:9" s="3" customFormat="1" ht="27" customHeight="1">
      <c r="A4" s="243" t="s">
        <v>0</v>
      </c>
      <c r="B4" s="244"/>
      <c r="C4" s="244"/>
      <c r="D4" s="244"/>
      <c r="E4" s="244"/>
      <c r="F4" s="244"/>
      <c r="G4" s="245"/>
      <c r="H4" s="205"/>
      <c r="I4" s="205"/>
    </row>
    <row r="5" spans="1:9" s="3" customFormat="1" ht="27" customHeight="1">
      <c r="A5" s="271" t="s">
        <v>9</v>
      </c>
      <c r="B5" s="272"/>
      <c r="C5" s="272"/>
      <c r="D5" s="272"/>
      <c r="E5" s="272"/>
      <c r="F5" s="272"/>
      <c r="G5" s="273"/>
      <c r="H5" s="203"/>
      <c r="I5" s="203"/>
    </row>
    <row r="6" spans="1:9" s="3" customFormat="1" ht="27" customHeight="1" thickBot="1">
      <c r="A6" s="297" t="s">
        <v>11</v>
      </c>
      <c r="B6" s="298"/>
      <c r="C6" s="298"/>
      <c r="D6" s="298"/>
      <c r="E6" s="298"/>
      <c r="F6" s="298"/>
      <c r="G6" s="299"/>
      <c r="H6" s="203"/>
      <c r="I6" s="203"/>
    </row>
    <row r="7" spans="1:9" s="4" customFormat="1" ht="56.25" customHeight="1" thickBot="1">
      <c r="A7" s="162"/>
      <c r="B7" s="310" t="s">
        <v>130</v>
      </c>
      <c r="C7" s="250"/>
      <c r="D7" s="249" t="s">
        <v>132</v>
      </c>
      <c r="E7" s="250"/>
      <c r="F7" s="310" t="s">
        <v>131</v>
      </c>
      <c r="G7" s="250"/>
      <c r="H7" s="253"/>
      <c r="I7" s="253"/>
    </row>
    <row r="8" spans="1:9" ht="26.25" customHeight="1" thickTop="1">
      <c r="A8" s="163" t="s">
        <v>15</v>
      </c>
      <c r="B8" s="303">
        <v>80</v>
      </c>
      <c r="C8" s="304"/>
      <c r="D8" s="305">
        <v>80</v>
      </c>
      <c r="E8" s="306"/>
      <c r="F8" s="307">
        <v>80</v>
      </c>
      <c r="G8" s="306"/>
      <c r="H8" s="251"/>
      <c r="I8" s="251"/>
    </row>
    <row r="9" spans="1:9" ht="26.25" customHeight="1">
      <c r="A9" s="62" t="s">
        <v>16</v>
      </c>
      <c r="B9" s="283"/>
      <c r="C9" s="308"/>
      <c r="D9" s="309">
        <v>130</v>
      </c>
      <c r="E9" s="291"/>
      <c r="F9" s="289">
        <v>130</v>
      </c>
      <c r="G9" s="291"/>
      <c r="H9" s="251"/>
      <c r="I9" s="251"/>
    </row>
    <row r="10" spans="1:9" ht="26.25" customHeight="1">
      <c r="A10" s="62" t="s">
        <v>68</v>
      </c>
      <c r="B10" s="283"/>
      <c r="C10" s="308"/>
      <c r="D10" s="309" t="s">
        <v>10</v>
      </c>
      <c r="E10" s="291"/>
      <c r="F10" s="289" t="s">
        <v>13</v>
      </c>
      <c r="G10" s="291"/>
      <c r="H10" s="251"/>
      <c r="I10" s="251"/>
    </row>
    <row r="11" spans="1:9" ht="26.25" customHeight="1">
      <c r="A11" s="164" t="s">
        <v>14</v>
      </c>
      <c r="B11" s="283"/>
      <c r="C11" s="308"/>
      <c r="D11" s="309">
        <v>3</v>
      </c>
      <c r="E11" s="291"/>
      <c r="F11" s="289">
        <v>3</v>
      </c>
      <c r="G11" s="291"/>
      <c r="H11" s="251"/>
      <c r="I11" s="251"/>
    </row>
    <row r="12" spans="1:9" ht="26.25" customHeight="1">
      <c r="A12" s="64" t="s">
        <v>18</v>
      </c>
      <c r="B12" s="311" t="s">
        <v>3</v>
      </c>
      <c r="C12" s="312"/>
      <c r="D12" s="313" t="s">
        <v>3</v>
      </c>
      <c r="E12" s="312"/>
      <c r="F12" s="311" t="s">
        <v>3</v>
      </c>
      <c r="G12" s="312"/>
      <c r="H12" s="252"/>
      <c r="I12" s="252"/>
    </row>
    <row r="13" spans="1:9" ht="26.25" customHeight="1">
      <c r="A13" s="165" t="s">
        <v>1</v>
      </c>
      <c r="B13" s="289">
        <v>0.6</v>
      </c>
      <c r="C13" s="290"/>
      <c r="D13" s="290">
        <v>0.7</v>
      </c>
      <c r="E13" s="290"/>
      <c r="F13" s="290">
        <v>0.7</v>
      </c>
      <c r="G13" s="291"/>
      <c r="H13" s="252"/>
      <c r="I13" s="252"/>
    </row>
    <row r="14" spans="1:9" ht="26.25" customHeight="1">
      <c r="A14" s="166" t="s">
        <v>2</v>
      </c>
      <c r="B14" s="289">
        <v>0.8</v>
      </c>
      <c r="C14" s="290"/>
      <c r="D14" s="290">
        <v>0.9</v>
      </c>
      <c r="E14" s="290"/>
      <c r="F14" s="290">
        <v>0.9</v>
      </c>
      <c r="G14" s="291"/>
      <c r="H14" s="252"/>
      <c r="I14" s="252"/>
    </row>
    <row r="15" spans="1:9" ht="26.25" customHeight="1" thickBot="1">
      <c r="A15" s="67" t="s">
        <v>69</v>
      </c>
      <c r="B15" s="292" t="s">
        <v>10</v>
      </c>
      <c r="C15" s="293"/>
      <c r="D15" s="294" t="s">
        <v>10</v>
      </c>
      <c r="E15" s="295"/>
      <c r="F15" s="296" t="s">
        <v>10</v>
      </c>
      <c r="G15" s="295"/>
      <c r="H15" s="251"/>
      <c r="I15" s="251"/>
    </row>
    <row r="16" spans="1:9" ht="41.25" customHeight="1" thickBot="1">
      <c r="A16" s="12"/>
      <c r="B16" s="13"/>
      <c r="C16" s="13"/>
      <c r="D16" s="13"/>
      <c r="E16" s="13"/>
      <c r="F16" s="13"/>
      <c r="G16" s="13"/>
      <c r="H16" s="13"/>
      <c r="I16" s="13"/>
    </row>
    <row r="17" spans="1:9" ht="56.25" customHeight="1" thickBot="1">
      <c r="A17" s="15"/>
      <c r="B17" s="16" t="s">
        <v>70</v>
      </c>
      <c r="C17" s="17" t="s">
        <v>71</v>
      </c>
      <c r="D17" s="16" t="s">
        <v>70</v>
      </c>
      <c r="E17" s="17" t="s">
        <v>71</v>
      </c>
      <c r="F17" s="16" t="s">
        <v>70</v>
      </c>
      <c r="G17" s="17" t="s">
        <v>71</v>
      </c>
      <c r="H17" s="18"/>
      <c r="I17" s="18"/>
    </row>
    <row r="18" spans="1:9" ht="26.25" customHeight="1" thickTop="1">
      <c r="A18" s="19" t="s">
        <v>23</v>
      </c>
      <c r="B18" s="20">
        <f>88</f>
        <v>88</v>
      </c>
      <c r="C18" s="21">
        <f>B18*B8</f>
        <v>7040</v>
      </c>
      <c r="D18" s="20">
        <f>88+IF(D10="yes",D9*D11,0)</f>
        <v>478</v>
      </c>
      <c r="E18" s="21">
        <f>D18*D8</f>
        <v>38240</v>
      </c>
      <c r="F18" s="22">
        <f>120+IF(F10="yes",F9*F11,0)</f>
        <v>120</v>
      </c>
      <c r="G18" s="21">
        <f>F18*F8</f>
        <v>9600</v>
      </c>
      <c r="H18" s="13"/>
      <c r="I18" s="13"/>
    </row>
    <row r="19" spans="1:9" ht="26.25" customHeight="1">
      <c r="A19" s="19" t="s">
        <v>5</v>
      </c>
      <c r="B19" s="20">
        <f>IF(B12="not performed",0,IF(B12="Shearing",50*B13+50*(B14-B13),IF(B12="ligation",50*B13+50*(B14-B13),IF(B12="amplification",50*B13+50*(B14-B13),"Choose Size Selection - Cell F16"))))</f>
        <v>40</v>
      </c>
      <c r="C19" s="21">
        <f>B19*B8</f>
        <v>3200</v>
      </c>
      <c r="D19" s="20">
        <f>IF(D12="not performed",0,IF(D12="shearing",D9*D13+50*(D14-D13),IF(D12="ligation",100*(D14-D13),IF(D12="amplification",50*D13+50*(D14-D13),"Choose Size Selection - Cell F16"))))</f>
        <v>45</v>
      </c>
      <c r="E19" s="21">
        <f>D19*D8</f>
        <v>3600</v>
      </c>
      <c r="F19" s="22">
        <f>IF(F12="not performed",0,IF(F12="shearing",F9*F13+50*(F14-F13),IF(F12="ligation",100*(F14-F13),IF(F12="amplification",50*F13+50*(F14-F13),"Choose Size Selection - Cell F16"))))</f>
        <v>45</v>
      </c>
      <c r="G19" s="21">
        <f>F19*F8</f>
        <v>3600</v>
      </c>
      <c r="H19" s="13"/>
      <c r="I19" s="13"/>
    </row>
    <row r="20" spans="1:9" ht="26.25" customHeight="1" thickBot="1">
      <c r="A20" s="5" t="s">
        <v>21</v>
      </c>
      <c r="B20" s="23">
        <f>IF(B15="Yes",50,IF(B15="No",0,"Enter Amplifcation - Cell F27"))</f>
        <v>50</v>
      </c>
      <c r="C20" s="24">
        <f>B20*B8</f>
        <v>4000</v>
      </c>
      <c r="D20" s="23">
        <f>IF(D15="Yes",50,IF(D15="No",0,"Enter Amplifcation - Cell F27"))</f>
        <v>50</v>
      </c>
      <c r="E20" s="24">
        <f>D20*D8</f>
        <v>4000</v>
      </c>
      <c r="F20" s="25">
        <f>IF(F15="Yes",50,IF(F15="No",0,"Enter Amplifcation - Cell F27"))</f>
        <v>50</v>
      </c>
      <c r="G20" s="24">
        <f>F20*F8</f>
        <v>4000</v>
      </c>
      <c r="H20" s="13"/>
      <c r="I20" s="13"/>
    </row>
    <row r="21" spans="1:9" ht="26.25" customHeight="1" thickTop="1" thickBot="1">
      <c r="A21" s="11" t="s">
        <v>20</v>
      </c>
      <c r="B21" s="285">
        <f>SUM(C18:C20)*1.1/1000</f>
        <v>15.664000000000001</v>
      </c>
      <c r="C21" s="286"/>
      <c r="D21" s="285">
        <f>SUM(E18:E20)*1.1/1000</f>
        <v>50.424000000000007</v>
      </c>
      <c r="E21" s="286"/>
      <c r="F21" s="287">
        <f>SUM(G18:G20)*1.1/1000</f>
        <v>18.920000000000002</v>
      </c>
      <c r="G21" s="288"/>
      <c r="H21" s="26"/>
      <c r="I21" s="26"/>
    </row>
    <row r="22" spans="1:9" ht="41.25" customHeight="1" thickBot="1"/>
    <row r="23" spans="1:9" s="2" customFormat="1" ht="85.5" customHeight="1">
      <c r="A23" s="257" t="s">
        <v>57</v>
      </c>
      <c r="B23" s="258"/>
      <c r="C23" s="258"/>
      <c r="D23" s="258"/>
      <c r="E23" s="258"/>
      <c r="F23" s="258"/>
      <c r="G23" s="258"/>
      <c r="H23" s="258"/>
      <c r="I23" s="259"/>
    </row>
    <row r="24" spans="1:9" s="27" customFormat="1" ht="26.25" customHeight="1">
      <c r="A24" s="254" t="s">
        <v>0</v>
      </c>
      <c r="B24" s="255"/>
      <c r="C24" s="255"/>
      <c r="D24" s="255"/>
      <c r="E24" s="255"/>
      <c r="F24" s="255"/>
      <c r="G24" s="255"/>
      <c r="H24" s="255"/>
      <c r="I24" s="256"/>
    </row>
    <row r="25" spans="1:9" s="27" customFormat="1" ht="26.25" customHeight="1">
      <c r="A25" s="28" t="s">
        <v>35</v>
      </c>
      <c r="B25" s="29"/>
      <c r="C25" s="29"/>
      <c r="D25" s="29"/>
      <c r="E25" s="29"/>
      <c r="F25" s="29"/>
      <c r="G25" s="29"/>
      <c r="H25" s="29"/>
      <c r="I25" s="30"/>
    </row>
    <row r="26" spans="1:9" s="27" customFormat="1" ht="26.25" customHeight="1" thickBot="1">
      <c r="A26" s="28" t="s">
        <v>126</v>
      </c>
      <c r="B26" s="29"/>
      <c r="C26" s="29"/>
      <c r="D26" s="29"/>
      <c r="E26" s="29"/>
      <c r="F26" s="29"/>
      <c r="G26" s="29"/>
      <c r="H26" s="29"/>
      <c r="I26" s="30"/>
    </row>
    <row r="27" spans="1:9" s="33" customFormat="1" ht="56.25" customHeight="1" thickBot="1">
      <c r="A27" s="32"/>
      <c r="B27" s="260" t="s">
        <v>133</v>
      </c>
      <c r="C27" s="261"/>
      <c r="D27" s="261"/>
      <c r="E27" s="261"/>
      <c r="F27" s="260" t="s">
        <v>131</v>
      </c>
      <c r="G27" s="261"/>
      <c r="H27" s="261"/>
      <c r="I27" s="262"/>
    </row>
    <row r="28" spans="1:9" s="39" customFormat="1" ht="26.25" customHeight="1" thickBot="1">
      <c r="A28" s="34"/>
      <c r="B28" s="35" t="s">
        <v>52</v>
      </c>
      <c r="C28" s="284" t="s">
        <v>53</v>
      </c>
      <c r="D28" s="284"/>
      <c r="E28" s="201" t="s">
        <v>51</v>
      </c>
      <c r="F28" s="36" t="s">
        <v>55</v>
      </c>
      <c r="G28" s="37">
        <v>175</v>
      </c>
      <c r="H28" s="37">
        <v>350</v>
      </c>
      <c r="I28" s="38">
        <v>500</v>
      </c>
    </row>
    <row r="29" spans="1:9" s="39" customFormat="1" ht="26.25" customHeight="1" thickBot="1">
      <c r="A29" s="34"/>
      <c r="B29" s="20">
        <v>1000</v>
      </c>
      <c r="C29" s="283">
        <v>15</v>
      </c>
      <c r="D29" s="283"/>
      <c r="E29" s="40" t="s">
        <v>46</v>
      </c>
      <c r="F29" s="41" t="s">
        <v>52</v>
      </c>
      <c r="G29" s="202" t="s">
        <v>54</v>
      </c>
      <c r="H29" s="202" t="s">
        <v>54</v>
      </c>
      <c r="I29" s="42" t="s">
        <v>54</v>
      </c>
    </row>
    <row r="30" spans="1:9" ht="26.25" customHeight="1">
      <c r="A30" s="43"/>
      <c r="B30" s="20">
        <v>500</v>
      </c>
      <c r="C30" s="283">
        <v>15</v>
      </c>
      <c r="D30" s="283"/>
      <c r="E30" s="40" t="s">
        <v>47</v>
      </c>
      <c r="F30" s="179" t="s">
        <v>56</v>
      </c>
      <c r="G30" s="37">
        <v>60</v>
      </c>
      <c r="H30" s="37">
        <v>30</v>
      </c>
      <c r="I30" s="38">
        <v>21</v>
      </c>
    </row>
    <row r="31" spans="1:9" ht="26.25" customHeight="1">
      <c r="A31" s="43"/>
      <c r="B31" s="20">
        <v>250</v>
      </c>
      <c r="C31" s="283">
        <v>15</v>
      </c>
      <c r="D31" s="283"/>
      <c r="E31" s="40" t="s">
        <v>48</v>
      </c>
      <c r="F31" s="20">
        <v>1000</v>
      </c>
      <c r="G31" s="199">
        <v>20</v>
      </c>
      <c r="H31" s="199">
        <v>10</v>
      </c>
      <c r="I31" s="200">
        <v>7</v>
      </c>
    </row>
    <row r="32" spans="1:9" ht="26.25" customHeight="1">
      <c r="A32" s="43"/>
      <c r="B32" s="20">
        <v>100</v>
      </c>
      <c r="C32" s="283">
        <v>15</v>
      </c>
      <c r="D32" s="283"/>
      <c r="E32" s="40" t="s">
        <v>49</v>
      </c>
      <c r="F32" s="20">
        <v>500</v>
      </c>
      <c r="G32" s="199">
        <v>10</v>
      </c>
      <c r="H32" s="199">
        <v>5</v>
      </c>
      <c r="I32" s="200">
        <v>3.5</v>
      </c>
    </row>
    <row r="33" spans="1:9" ht="26.25" customHeight="1">
      <c r="A33" s="43"/>
      <c r="B33" s="20">
        <v>50</v>
      </c>
      <c r="C33" s="283">
        <v>15</v>
      </c>
      <c r="D33" s="283"/>
      <c r="E33" s="40" t="s">
        <v>50</v>
      </c>
      <c r="F33" s="20">
        <v>100</v>
      </c>
      <c r="G33" s="199">
        <v>2</v>
      </c>
      <c r="H33" s="199">
        <v>1</v>
      </c>
      <c r="I33" s="200">
        <v>0.7</v>
      </c>
    </row>
    <row r="34" spans="1:9" ht="26.25" customHeight="1" thickBot="1">
      <c r="A34" s="43"/>
      <c r="B34" s="20">
        <v>25</v>
      </c>
      <c r="C34" s="283">
        <v>7.5</v>
      </c>
      <c r="D34" s="283"/>
      <c r="E34" s="40" t="s">
        <v>50</v>
      </c>
      <c r="F34" s="41">
        <v>10</v>
      </c>
      <c r="G34" s="202">
        <v>0.2</v>
      </c>
      <c r="H34" s="202">
        <v>0.1</v>
      </c>
      <c r="I34" s="42">
        <v>7.0000000000000007E-2</v>
      </c>
    </row>
    <row r="35" spans="1:9" ht="26.25" customHeight="1">
      <c r="A35" s="43"/>
      <c r="B35" s="20">
        <v>10</v>
      </c>
      <c r="C35" s="283">
        <v>3</v>
      </c>
      <c r="D35" s="283"/>
      <c r="E35" s="40" t="s">
        <v>50</v>
      </c>
      <c r="F35" s="277" t="s">
        <v>72</v>
      </c>
      <c r="G35" s="278"/>
      <c r="H35" s="278"/>
      <c r="I35" s="279"/>
    </row>
    <row r="36" spans="1:9" ht="26.25" customHeight="1">
      <c r="A36" s="43"/>
      <c r="B36" s="20">
        <v>5</v>
      </c>
      <c r="C36" s="283">
        <v>1.5</v>
      </c>
      <c r="D36" s="283"/>
      <c r="E36" s="40" t="s">
        <v>50</v>
      </c>
      <c r="F36" s="277"/>
      <c r="G36" s="278"/>
      <c r="H36" s="278"/>
      <c r="I36" s="279"/>
    </row>
    <row r="37" spans="1:9" ht="26.25" customHeight="1">
      <c r="A37" s="43"/>
      <c r="B37" s="20">
        <v>2.5</v>
      </c>
      <c r="C37" s="283">
        <v>0.75</v>
      </c>
      <c r="D37" s="283"/>
      <c r="E37" s="40" t="s">
        <v>50</v>
      </c>
      <c r="F37" s="277"/>
      <c r="G37" s="278"/>
      <c r="H37" s="278"/>
      <c r="I37" s="279"/>
    </row>
    <row r="38" spans="1:9" ht="26.25" customHeight="1" thickBot="1">
      <c r="A38" s="44"/>
      <c r="B38" s="41">
        <v>1</v>
      </c>
      <c r="C38" s="276">
        <v>0.3</v>
      </c>
      <c r="D38" s="276"/>
      <c r="E38" s="45" t="s">
        <v>50</v>
      </c>
      <c r="F38" s="280"/>
      <c r="G38" s="281"/>
      <c r="H38" s="281"/>
      <c r="I38" s="282"/>
    </row>
    <row r="39" spans="1:9" ht="41.25" customHeight="1" thickBot="1">
      <c r="A39" s="46"/>
      <c r="B39" s="47"/>
      <c r="C39" s="47"/>
      <c r="D39" s="47"/>
      <c r="E39" s="48"/>
      <c r="F39" s="49"/>
      <c r="G39" s="49"/>
      <c r="H39" s="49"/>
      <c r="I39" s="49"/>
    </row>
    <row r="40" spans="1:9" s="51" customFormat="1" ht="85.5" customHeight="1" thickBot="1">
      <c r="A40" s="246" t="s">
        <v>76</v>
      </c>
      <c r="B40" s="247"/>
      <c r="C40" s="247"/>
      <c r="D40" s="247"/>
      <c r="E40" s="247"/>
      <c r="F40" s="247"/>
      <c r="G40" s="248"/>
      <c r="H40" s="50"/>
      <c r="I40" s="50"/>
    </row>
    <row r="41" spans="1:9" s="53" customFormat="1" ht="56.25" customHeight="1" thickBot="1">
      <c r="A41" s="52"/>
      <c r="B41" s="249" t="s">
        <v>130</v>
      </c>
      <c r="C41" s="250"/>
      <c r="D41" s="249" t="s">
        <v>132</v>
      </c>
      <c r="E41" s="250"/>
      <c r="F41" s="249" t="s">
        <v>131</v>
      </c>
      <c r="G41" s="250"/>
    </row>
    <row r="42" spans="1:9" ht="26.25" customHeight="1" thickTop="1">
      <c r="A42" s="54" t="s">
        <v>73</v>
      </c>
      <c r="B42" s="235">
        <v>100</v>
      </c>
      <c r="C42" s="236"/>
      <c r="D42" s="235">
        <v>100</v>
      </c>
      <c r="E42" s="236"/>
      <c r="F42" s="235">
        <v>100</v>
      </c>
      <c r="G42" s="236"/>
    </row>
    <row r="43" spans="1:9" ht="26.25" customHeight="1">
      <c r="A43" s="55" t="s">
        <v>127</v>
      </c>
      <c r="B43" s="237">
        <v>350</v>
      </c>
      <c r="C43" s="238"/>
      <c r="D43" s="237">
        <v>350</v>
      </c>
      <c r="E43" s="238"/>
      <c r="F43" s="237">
        <v>350</v>
      </c>
      <c r="G43" s="238"/>
    </row>
    <row r="44" spans="1:9" ht="26.25" customHeight="1">
      <c r="A44" s="56" t="s">
        <v>38</v>
      </c>
      <c r="B44" s="57">
        <f>(B42/660)*(1000/B43)</f>
        <v>0.4329004329004329</v>
      </c>
      <c r="C44" s="58" t="s">
        <v>39</v>
      </c>
      <c r="D44" s="57">
        <f>(D42/660)*(1000/D43)</f>
        <v>0.4329004329004329</v>
      </c>
      <c r="E44" s="58" t="s">
        <v>39</v>
      </c>
      <c r="F44" s="57">
        <f>(F42/660)*(1000/F43)</f>
        <v>0.4329004329004329</v>
      </c>
      <c r="G44" s="58" t="s">
        <v>39</v>
      </c>
    </row>
    <row r="45" spans="1:9" ht="26.25" customHeight="1">
      <c r="A45" s="59" t="s">
        <v>40</v>
      </c>
      <c r="B45" s="241">
        <v>40</v>
      </c>
      <c r="C45" s="242"/>
      <c r="D45" s="241">
        <v>40</v>
      </c>
      <c r="E45" s="242"/>
      <c r="F45" s="241">
        <v>10</v>
      </c>
      <c r="G45" s="242"/>
      <c r="H45" s="180"/>
    </row>
    <row r="46" spans="1:9" ht="26.25" customHeight="1">
      <c r="A46" s="56" t="s">
        <v>41</v>
      </c>
      <c r="B46" s="60">
        <f>B45*B44</f>
        <v>17.316017316017316</v>
      </c>
      <c r="C46" s="61" t="s">
        <v>39</v>
      </c>
      <c r="D46" s="60">
        <f>D45*D44</f>
        <v>17.316017316017316</v>
      </c>
      <c r="E46" s="61" t="s">
        <v>39</v>
      </c>
      <c r="F46" s="60">
        <f>F45*F44</f>
        <v>4.329004329004329</v>
      </c>
      <c r="G46" s="61" t="s">
        <v>39</v>
      </c>
    </row>
    <row r="47" spans="1:9" ht="58.5" customHeight="1">
      <c r="A47" s="55" t="s">
        <v>74</v>
      </c>
      <c r="B47" s="239">
        <f>5</f>
        <v>5</v>
      </c>
      <c r="C47" s="240"/>
      <c r="D47" s="239">
        <f>5</f>
        <v>5</v>
      </c>
      <c r="E47" s="240"/>
      <c r="F47" s="239">
        <f>5</f>
        <v>5</v>
      </c>
      <c r="G47" s="240"/>
    </row>
    <row r="48" spans="1:9" ht="26.25" customHeight="1">
      <c r="A48" s="62" t="s">
        <v>83</v>
      </c>
      <c r="B48" s="227">
        <f>ROUNDDOWN((B46/B47),1)</f>
        <v>3.4</v>
      </c>
      <c r="C48" s="228"/>
      <c r="D48" s="227">
        <f>ROUNDDOWN((D46/D47),1)</f>
        <v>3.4</v>
      </c>
      <c r="E48" s="228"/>
      <c r="F48" s="227">
        <f>(F46/F47)</f>
        <v>0.86580086580086579</v>
      </c>
      <c r="G48" s="228"/>
      <c r="H48" s="63"/>
    </row>
    <row r="49" spans="1:11" ht="26.25" customHeight="1">
      <c r="A49" s="62" t="s">
        <v>31</v>
      </c>
      <c r="B49" s="274">
        <f>IF(B48&lt;=1.5,1.5,30)</f>
        <v>30</v>
      </c>
      <c r="C49" s="275"/>
      <c r="D49" s="274">
        <f>IF(D48&lt;=1.5,1.5,30)</f>
        <v>30</v>
      </c>
      <c r="E49" s="275"/>
      <c r="F49" s="274">
        <f>IF(F48&gt;1.5, 30,1.5)</f>
        <v>1.5</v>
      </c>
      <c r="G49" s="275"/>
    </row>
    <row r="50" spans="1:11" ht="26.25" customHeight="1" thickBot="1">
      <c r="A50" s="64" t="s">
        <v>29</v>
      </c>
      <c r="B50" s="227">
        <f>ROUNDUP((B49/B48),1)</f>
        <v>8.9</v>
      </c>
      <c r="C50" s="228"/>
      <c r="D50" s="227">
        <f>ROUNDUP((D49/D48),1)</f>
        <v>8.9</v>
      </c>
      <c r="E50" s="228"/>
      <c r="F50" s="227">
        <f>ROUNDUP((F49/F48),1)</f>
        <v>1.8</v>
      </c>
      <c r="G50" s="228"/>
    </row>
    <row r="51" spans="1:11" ht="26.25" customHeight="1">
      <c r="A51" s="65" t="s">
        <v>30</v>
      </c>
      <c r="B51" s="265">
        <f>ROUNDDOWN((8*B50),0)*(5/B47)</f>
        <v>71</v>
      </c>
      <c r="C51" s="266"/>
      <c r="D51" s="265">
        <f>ROUNDDOWN((8*D50),0)*(5/D47)</f>
        <v>71</v>
      </c>
      <c r="E51" s="266"/>
      <c r="F51" s="265">
        <f>ROUNDDOWN((8*F50),0)*(5/F47)</f>
        <v>14</v>
      </c>
      <c r="G51" s="266"/>
    </row>
    <row r="52" spans="1:11" ht="26.25" customHeight="1">
      <c r="A52" s="62" t="s">
        <v>66</v>
      </c>
      <c r="B52" s="267">
        <f>B51*24</f>
        <v>1704</v>
      </c>
      <c r="C52" s="268"/>
      <c r="D52" s="267">
        <f>D51*24</f>
        <v>1704</v>
      </c>
      <c r="E52" s="268"/>
      <c r="F52" s="267">
        <f>F51*24</f>
        <v>336</v>
      </c>
      <c r="G52" s="268"/>
    </row>
    <row r="53" spans="1:11" ht="26.25" customHeight="1" thickBot="1">
      <c r="A53" s="67" t="s">
        <v>67</v>
      </c>
      <c r="B53" s="263">
        <f>B51*12</f>
        <v>852</v>
      </c>
      <c r="C53" s="264"/>
      <c r="D53" s="263">
        <f>D51*12</f>
        <v>852</v>
      </c>
      <c r="E53" s="264"/>
      <c r="F53" s="263">
        <f>F51*12</f>
        <v>168</v>
      </c>
      <c r="G53" s="264"/>
    </row>
    <row r="54" spans="1:11" ht="26.25" customHeight="1" thickBot="1">
      <c r="A54" s="300" t="s">
        <v>63</v>
      </c>
      <c r="B54" s="301"/>
      <c r="C54" s="301"/>
      <c r="D54" s="301"/>
      <c r="E54" s="301"/>
      <c r="F54" s="301"/>
      <c r="G54" s="302"/>
    </row>
    <row r="55" spans="1:11" ht="26.25" customHeight="1">
      <c r="A55" s="54" t="s">
        <v>64</v>
      </c>
      <c r="B55" s="269">
        <v>5</v>
      </c>
      <c r="C55" s="270"/>
      <c r="D55" s="269">
        <v>5</v>
      </c>
      <c r="E55" s="270"/>
      <c r="F55" s="269">
        <v>1</v>
      </c>
      <c r="G55" s="270"/>
    </row>
    <row r="56" spans="1:11" ht="26.25" customHeight="1">
      <c r="A56" s="68" t="s">
        <v>128</v>
      </c>
      <c r="B56" s="221">
        <f>B47</f>
        <v>5</v>
      </c>
      <c r="C56" s="222"/>
      <c r="D56" s="221">
        <f>D47</f>
        <v>5</v>
      </c>
      <c r="E56" s="222"/>
      <c r="F56" s="221">
        <f>F47</f>
        <v>5</v>
      </c>
      <c r="G56" s="222"/>
    </row>
    <row r="57" spans="1:11" ht="26.25" customHeight="1">
      <c r="A57" s="56" t="s">
        <v>45</v>
      </c>
      <c r="B57" s="215">
        <f>B55*B56</f>
        <v>25</v>
      </c>
      <c r="C57" s="216"/>
      <c r="D57" s="215">
        <f>D55*D56</f>
        <v>25</v>
      </c>
      <c r="E57" s="216"/>
      <c r="F57" s="215">
        <f>F55*F56</f>
        <v>5</v>
      </c>
      <c r="G57" s="216"/>
    </row>
    <row r="58" spans="1:11" ht="26.25" customHeight="1" thickBot="1">
      <c r="A58" s="69" t="s">
        <v>65</v>
      </c>
      <c r="B58" s="217">
        <f>B57/B44</f>
        <v>57.75</v>
      </c>
      <c r="C58" s="218"/>
      <c r="D58" s="217">
        <f>D57/D44</f>
        <v>57.75</v>
      </c>
      <c r="E58" s="218"/>
      <c r="F58" s="217">
        <f>F57/F44</f>
        <v>11.55</v>
      </c>
      <c r="G58" s="218"/>
    </row>
    <row r="59" spans="1:11" ht="40.5" customHeight="1" thickBot="1">
      <c r="A59" s="70"/>
      <c r="B59" s="70"/>
      <c r="C59" s="70"/>
      <c r="D59" s="70"/>
      <c r="E59" s="70"/>
      <c r="J59" s="14"/>
      <c r="K59" s="14"/>
    </row>
    <row r="60" spans="1:11" ht="87" customHeight="1" thickBot="1">
      <c r="A60" s="246" t="s">
        <v>77</v>
      </c>
      <c r="B60" s="247"/>
      <c r="C60" s="247"/>
      <c r="D60" s="247"/>
      <c r="E60" s="247"/>
      <c r="F60" s="247"/>
      <c r="G60" s="248"/>
      <c r="J60" s="14"/>
      <c r="K60" s="14"/>
    </row>
    <row r="61" spans="1:11" ht="57.75" customHeight="1" thickBot="1">
      <c r="A61" s="52"/>
      <c r="B61" s="249" t="s">
        <v>130</v>
      </c>
      <c r="C61" s="250"/>
      <c r="D61" s="249" t="s">
        <v>132</v>
      </c>
      <c r="E61" s="250"/>
      <c r="F61" s="249" t="s">
        <v>131</v>
      </c>
      <c r="G61" s="250"/>
      <c r="J61" s="14"/>
      <c r="K61" s="14"/>
    </row>
    <row r="62" spans="1:11" ht="27" customHeight="1" thickTop="1">
      <c r="A62" s="54" t="s">
        <v>73</v>
      </c>
      <c r="B62" s="235">
        <v>100</v>
      </c>
      <c r="C62" s="236"/>
      <c r="D62" s="235">
        <v>100</v>
      </c>
      <c r="E62" s="236"/>
      <c r="F62" s="235">
        <v>100</v>
      </c>
      <c r="G62" s="236"/>
      <c r="J62" s="14"/>
      <c r="K62" s="14"/>
    </row>
    <row r="63" spans="1:11" ht="27" customHeight="1">
      <c r="A63" s="55" t="s">
        <v>127</v>
      </c>
      <c r="B63" s="237">
        <v>450</v>
      </c>
      <c r="C63" s="238"/>
      <c r="D63" s="237">
        <v>350</v>
      </c>
      <c r="E63" s="238"/>
      <c r="F63" s="237">
        <v>350</v>
      </c>
      <c r="G63" s="238"/>
    </row>
    <row r="64" spans="1:11" ht="27" customHeight="1">
      <c r="A64" s="56" t="s">
        <v>38</v>
      </c>
      <c r="B64" s="57">
        <f>(B62/660)*(1000/B63)</f>
        <v>0.33670033670033672</v>
      </c>
      <c r="C64" s="58" t="s">
        <v>39</v>
      </c>
      <c r="D64" s="57">
        <f>(D62/660)*(1000/D63)</f>
        <v>0.4329004329004329</v>
      </c>
      <c r="E64" s="58" t="s">
        <v>39</v>
      </c>
      <c r="F64" s="57">
        <f>(F62/660)*(1000/F63)</f>
        <v>0.4329004329004329</v>
      </c>
      <c r="G64" s="58" t="s">
        <v>39</v>
      </c>
    </row>
    <row r="65" spans="1:7" ht="27" customHeight="1">
      <c r="A65" s="59" t="s">
        <v>40</v>
      </c>
      <c r="B65" s="241">
        <v>40</v>
      </c>
      <c r="C65" s="242"/>
      <c r="D65" s="241">
        <v>40</v>
      </c>
      <c r="E65" s="242"/>
      <c r="F65" s="241">
        <v>10</v>
      </c>
      <c r="G65" s="242"/>
    </row>
    <row r="66" spans="1:7" ht="27" customHeight="1">
      <c r="A66" s="56" t="s">
        <v>41</v>
      </c>
      <c r="B66" s="60">
        <f>B65*B64</f>
        <v>13.468013468013469</v>
      </c>
      <c r="C66" s="61" t="s">
        <v>39</v>
      </c>
      <c r="D66" s="60">
        <f>D65*D64</f>
        <v>17.316017316017316</v>
      </c>
      <c r="E66" s="61" t="s">
        <v>39</v>
      </c>
      <c r="F66" s="60">
        <f>F65*F64</f>
        <v>4.329004329004329</v>
      </c>
      <c r="G66" s="61" t="s">
        <v>39</v>
      </c>
    </row>
    <row r="67" spans="1:7" ht="27" customHeight="1">
      <c r="A67" s="55" t="s">
        <v>74</v>
      </c>
      <c r="B67" s="239">
        <f>5</f>
        <v>5</v>
      </c>
      <c r="C67" s="240"/>
      <c r="D67" s="239">
        <f>5</f>
        <v>5</v>
      </c>
      <c r="E67" s="240"/>
      <c r="F67" s="239">
        <f>5</f>
        <v>5</v>
      </c>
      <c r="G67" s="240"/>
    </row>
    <row r="68" spans="1:7" ht="27" customHeight="1">
      <c r="A68" s="62" t="s">
        <v>83</v>
      </c>
      <c r="B68" s="227">
        <f>ROUNDDOWN((B66/B67),1)</f>
        <v>2.6</v>
      </c>
      <c r="C68" s="228"/>
      <c r="D68" s="227">
        <f>ROUNDDOWN((D66/D67),1)</f>
        <v>3.4</v>
      </c>
      <c r="E68" s="228"/>
      <c r="F68" s="227">
        <f>(F66/F67)</f>
        <v>0.86580086580086579</v>
      </c>
      <c r="G68" s="228"/>
    </row>
    <row r="69" spans="1:7" ht="27" customHeight="1">
      <c r="A69" s="62" t="s">
        <v>79</v>
      </c>
      <c r="B69" s="233">
        <v>15</v>
      </c>
      <c r="C69" s="234"/>
      <c r="D69" s="233">
        <v>15</v>
      </c>
      <c r="E69" s="234"/>
      <c r="F69" s="233">
        <v>15</v>
      </c>
      <c r="G69" s="234"/>
    </row>
    <row r="70" spans="1:7" ht="27" customHeight="1" thickBot="1">
      <c r="A70" s="64" t="s">
        <v>29</v>
      </c>
      <c r="B70" s="227">
        <f>ROUNDUP((B69/B68),1)</f>
        <v>5.8</v>
      </c>
      <c r="C70" s="228"/>
      <c r="D70" s="227">
        <f>ROUNDUP((D69/D68),1)</f>
        <v>4.5</v>
      </c>
      <c r="E70" s="228"/>
      <c r="F70" s="227">
        <f>ROUNDUP((F69/F68),1)</f>
        <v>17.400000000000002</v>
      </c>
      <c r="G70" s="228"/>
    </row>
    <row r="71" spans="1:7" ht="27" customHeight="1">
      <c r="A71" s="204" t="s">
        <v>30</v>
      </c>
      <c r="B71" s="229">
        <f>ROUNDDOWN((4*B70),0)*(5/B67)</f>
        <v>23</v>
      </c>
      <c r="C71" s="230"/>
      <c r="D71" s="229">
        <f>ROUNDDOWN((4*D70),0)*(5/D67)</f>
        <v>18</v>
      </c>
      <c r="E71" s="231"/>
      <c r="F71" s="232">
        <f>ROUNDDOWN((4*F70),0)*(5/F67)</f>
        <v>69</v>
      </c>
      <c r="G71" s="230"/>
    </row>
    <row r="72" spans="1:7" ht="27" customHeight="1" thickBot="1">
      <c r="A72" s="66" t="s">
        <v>86</v>
      </c>
      <c r="B72" s="223">
        <f>B71*96</f>
        <v>2208</v>
      </c>
      <c r="C72" s="224"/>
      <c r="D72" s="223">
        <f>D71*96</f>
        <v>1728</v>
      </c>
      <c r="E72" s="225"/>
      <c r="F72" s="226">
        <f>F71*96</f>
        <v>6624</v>
      </c>
      <c r="G72" s="224"/>
    </row>
    <row r="73" spans="1:7" ht="27" customHeight="1" thickBot="1">
      <c r="A73" s="300" t="s">
        <v>63</v>
      </c>
      <c r="B73" s="301"/>
      <c r="C73" s="301"/>
      <c r="D73" s="301"/>
      <c r="E73" s="301"/>
      <c r="F73" s="301"/>
      <c r="G73" s="302"/>
    </row>
    <row r="74" spans="1:7" ht="27" customHeight="1">
      <c r="A74" s="54" t="s">
        <v>129</v>
      </c>
      <c r="B74" s="219">
        <f>15</f>
        <v>15</v>
      </c>
      <c r="C74" s="220"/>
      <c r="D74" s="219">
        <f>15</f>
        <v>15</v>
      </c>
      <c r="E74" s="220"/>
      <c r="F74" s="219">
        <f>15</f>
        <v>15</v>
      </c>
      <c r="G74" s="220"/>
    </row>
    <row r="75" spans="1:7" ht="27" customHeight="1">
      <c r="A75" s="68" t="s">
        <v>128</v>
      </c>
      <c r="B75" s="221">
        <f>B67</f>
        <v>5</v>
      </c>
      <c r="C75" s="222"/>
      <c r="D75" s="221">
        <f>D67</f>
        <v>5</v>
      </c>
      <c r="E75" s="222"/>
      <c r="F75" s="221">
        <f>F67</f>
        <v>5</v>
      </c>
      <c r="G75" s="222"/>
    </row>
    <row r="76" spans="1:7" ht="27" customHeight="1">
      <c r="A76" s="56" t="s">
        <v>45</v>
      </c>
      <c r="B76" s="215">
        <f>B74*B75</f>
        <v>75</v>
      </c>
      <c r="C76" s="216"/>
      <c r="D76" s="215">
        <f>D74*D75</f>
        <v>75</v>
      </c>
      <c r="E76" s="216"/>
      <c r="F76" s="215">
        <f>F74*F75</f>
        <v>75</v>
      </c>
      <c r="G76" s="216"/>
    </row>
    <row r="77" spans="1:7" ht="27" customHeight="1" thickBot="1">
      <c r="A77" s="69" t="s">
        <v>65</v>
      </c>
      <c r="B77" s="217">
        <f>B76/B64</f>
        <v>222.74999999999997</v>
      </c>
      <c r="C77" s="218"/>
      <c r="D77" s="217">
        <f>D76/D64</f>
        <v>173.25</v>
      </c>
      <c r="E77" s="218"/>
      <c r="F77" s="217">
        <f>F76/F64</f>
        <v>173.25</v>
      </c>
      <c r="G77" s="218"/>
    </row>
  </sheetData>
  <sheetProtection password="DEB6" sheet="1" objects="1" scenarios="1"/>
  <mergeCells count="151">
    <mergeCell ref="A6:G6"/>
    <mergeCell ref="A73:G73"/>
    <mergeCell ref="A54:G54"/>
    <mergeCell ref="B8:C8"/>
    <mergeCell ref="D8:E8"/>
    <mergeCell ref="F8:G8"/>
    <mergeCell ref="B9:C9"/>
    <mergeCell ref="D9:E9"/>
    <mergeCell ref="F9:G9"/>
    <mergeCell ref="B7:C7"/>
    <mergeCell ref="D7:E7"/>
    <mergeCell ref="F7:G7"/>
    <mergeCell ref="B12:C12"/>
    <mergeCell ref="D12:E12"/>
    <mergeCell ref="F12:G12"/>
    <mergeCell ref="B13:C13"/>
    <mergeCell ref="D13:E13"/>
    <mergeCell ref="F13:G13"/>
    <mergeCell ref="B10:C10"/>
    <mergeCell ref="D10:E10"/>
    <mergeCell ref="F10:G10"/>
    <mergeCell ref="B11:C11"/>
    <mergeCell ref="D11:E11"/>
    <mergeCell ref="F11:G11"/>
    <mergeCell ref="B21:C21"/>
    <mergeCell ref="D21:E21"/>
    <mergeCell ref="F21:G21"/>
    <mergeCell ref="B14:C14"/>
    <mergeCell ref="D14:E14"/>
    <mergeCell ref="F14:G14"/>
    <mergeCell ref="B15:C15"/>
    <mergeCell ref="D15:E15"/>
    <mergeCell ref="F15:G15"/>
    <mergeCell ref="C34:D34"/>
    <mergeCell ref="C35:D35"/>
    <mergeCell ref="C36:D36"/>
    <mergeCell ref="C37:D37"/>
    <mergeCell ref="C28:D28"/>
    <mergeCell ref="C29:D29"/>
    <mergeCell ref="C30:D30"/>
    <mergeCell ref="C31:D31"/>
    <mergeCell ref="C32:D32"/>
    <mergeCell ref="C33:D33"/>
    <mergeCell ref="B43:C43"/>
    <mergeCell ref="D43:E43"/>
    <mergeCell ref="F43:G43"/>
    <mergeCell ref="B45:C45"/>
    <mergeCell ref="D45:E45"/>
    <mergeCell ref="F45:G45"/>
    <mergeCell ref="C38:D38"/>
    <mergeCell ref="B42:C42"/>
    <mergeCell ref="D42:E42"/>
    <mergeCell ref="F35:I38"/>
    <mergeCell ref="F52:G52"/>
    <mergeCell ref="B49:C49"/>
    <mergeCell ref="D49:E49"/>
    <mergeCell ref="F49:G49"/>
    <mergeCell ref="B50:C50"/>
    <mergeCell ref="D50:E50"/>
    <mergeCell ref="F50:G50"/>
    <mergeCell ref="B47:C47"/>
    <mergeCell ref="D47:E47"/>
    <mergeCell ref="F47:G47"/>
    <mergeCell ref="B48:C48"/>
    <mergeCell ref="D48:E48"/>
    <mergeCell ref="A3:G3"/>
    <mergeCell ref="A40:G40"/>
    <mergeCell ref="H12:I12"/>
    <mergeCell ref="B62:C62"/>
    <mergeCell ref="D62:E62"/>
    <mergeCell ref="F42:G42"/>
    <mergeCell ref="F48:G48"/>
    <mergeCell ref="B27:E27"/>
    <mergeCell ref="F41:G41"/>
    <mergeCell ref="D41:E41"/>
    <mergeCell ref="B41:C41"/>
    <mergeCell ref="D57:E57"/>
    <mergeCell ref="F57:G57"/>
    <mergeCell ref="B58:C58"/>
    <mergeCell ref="D58:E58"/>
    <mergeCell ref="F58:G58"/>
    <mergeCell ref="B55:C55"/>
    <mergeCell ref="D55:E55"/>
    <mergeCell ref="F55:G55"/>
    <mergeCell ref="B56:C56"/>
    <mergeCell ref="D56:E56"/>
    <mergeCell ref="F56:G56"/>
    <mergeCell ref="B57:C57"/>
    <mergeCell ref="A5:G5"/>
    <mergeCell ref="A4:G4"/>
    <mergeCell ref="A60:G60"/>
    <mergeCell ref="B61:C61"/>
    <mergeCell ref="D61:E61"/>
    <mergeCell ref="F61:G61"/>
    <mergeCell ref="H11:I11"/>
    <mergeCell ref="H10:I10"/>
    <mergeCell ref="H9:I9"/>
    <mergeCell ref="H13:I13"/>
    <mergeCell ref="H14:I14"/>
    <mergeCell ref="H7:I7"/>
    <mergeCell ref="H8:I8"/>
    <mergeCell ref="A24:I24"/>
    <mergeCell ref="A23:I23"/>
    <mergeCell ref="H15:I15"/>
    <mergeCell ref="F27:I27"/>
    <mergeCell ref="B53:C53"/>
    <mergeCell ref="D53:E53"/>
    <mergeCell ref="F53:G53"/>
    <mergeCell ref="B51:C51"/>
    <mergeCell ref="D51:E51"/>
    <mergeCell ref="F51:G51"/>
    <mergeCell ref="B52:C52"/>
    <mergeCell ref="D52:E52"/>
    <mergeCell ref="F68:G68"/>
    <mergeCell ref="B69:C69"/>
    <mergeCell ref="D69:E69"/>
    <mergeCell ref="F69:G69"/>
    <mergeCell ref="F62:G62"/>
    <mergeCell ref="B63:C63"/>
    <mergeCell ref="D63:E63"/>
    <mergeCell ref="F63:G63"/>
    <mergeCell ref="B67:C67"/>
    <mergeCell ref="D67:E67"/>
    <mergeCell ref="F67:G67"/>
    <mergeCell ref="B65:C65"/>
    <mergeCell ref="D65:E65"/>
    <mergeCell ref="F65:G65"/>
    <mergeCell ref="B1:C1"/>
    <mergeCell ref="B76:C76"/>
    <mergeCell ref="D76:E76"/>
    <mergeCell ref="F76:G76"/>
    <mergeCell ref="B77:C77"/>
    <mergeCell ref="D77:E77"/>
    <mergeCell ref="F77:G77"/>
    <mergeCell ref="B74:C74"/>
    <mergeCell ref="D74:E74"/>
    <mergeCell ref="F74:G74"/>
    <mergeCell ref="B75:C75"/>
    <mergeCell ref="D75:E75"/>
    <mergeCell ref="F75:G75"/>
    <mergeCell ref="B72:C72"/>
    <mergeCell ref="D72:E72"/>
    <mergeCell ref="F72:G72"/>
    <mergeCell ref="B70:C70"/>
    <mergeCell ref="D70:E70"/>
    <mergeCell ref="F70:G70"/>
    <mergeCell ref="B71:C71"/>
    <mergeCell ref="D71:E71"/>
    <mergeCell ref="F71:G71"/>
    <mergeCell ref="B68:C68"/>
    <mergeCell ref="D68:E68"/>
  </mergeCells>
  <conditionalFormatting sqref="B47">
    <cfRule type="cellIs" dxfId="63" priority="72" operator="greaterThan">
      <formula>10</formula>
    </cfRule>
  </conditionalFormatting>
  <conditionalFormatting sqref="B48">
    <cfRule type="cellIs" dxfId="62" priority="71" operator="greaterThan">
      <formula>30</formula>
    </cfRule>
  </conditionalFormatting>
  <conditionalFormatting sqref="B45">
    <cfRule type="cellIs" dxfId="61" priority="70" operator="lessThan">
      <formula>5</formula>
    </cfRule>
  </conditionalFormatting>
  <conditionalFormatting sqref="D47">
    <cfRule type="cellIs" dxfId="60" priority="67" operator="greaterThan">
      <formula>10</formula>
    </cfRule>
  </conditionalFormatting>
  <conditionalFormatting sqref="D48">
    <cfRule type="cellIs" dxfId="59" priority="66" operator="greaterThan">
      <formula>30</formula>
    </cfRule>
  </conditionalFormatting>
  <conditionalFormatting sqref="D45">
    <cfRule type="cellIs" dxfId="58" priority="65" operator="lessThan">
      <formula>5</formula>
    </cfRule>
  </conditionalFormatting>
  <conditionalFormatting sqref="F47">
    <cfRule type="cellIs" dxfId="57" priority="62" operator="greaterThan">
      <formula>10</formula>
    </cfRule>
  </conditionalFormatting>
  <conditionalFormatting sqref="F45">
    <cfRule type="cellIs" dxfId="56" priority="60" operator="lessThan">
      <formula>5</formula>
    </cfRule>
  </conditionalFormatting>
  <conditionalFormatting sqref="F48">
    <cfRule type="cellIs" dxfId="55" priority="54" operator="greaterThan">
      <formula>30</formula>
    </cfRule>
  </conditionalFormatting>
  <conditionalFormatting sqref="F68">
    <cfRule type="cellIs" dxfId="54" priority="7" operator="greaterThan">
      <formula>30</formula>
    </cfRule>
  </conditionalFormatting>
  <conditionalFormatting sqref="B63">
    <cfRule type="cellIs" dxfId="53" priority="17" operator="lessThan">
      <formula>150</formula>
    </cfRule>
    <cfRule type="cellIs" dxfId="52" priority="18" operator="greaterThan">
      <formula>750</formula>
    </cfRule>
  </conditionalFormatting>
  <conditionalFormatting sqref="B67">
    <cfRule type="cellIs" dxfId="51" priority="21" operator="greaterThan">
      <formula>10</formula>
    </cfRule>
  </conditionalFormatting>
  <conditionalFormatting sqref="B68">
    <cfRule type="cellIs" dxfId="50" priority="20" operator="greaterThan">
      <formula>30</formula>
    </cfRule>
  </conditionalFormatting>
  <conditionalFormatting sqref="B65">
    <cfRule type="cellIs" dxfId="49" priority="19" operator="lessThan">
      <formula>5</formula>
    </cfRule>
  </conditionalFormatting>
  <conditionalFormatting sqref="D63">
    <cfRule type="cellIs" dxfId="48" priority="12" operator="lessThan">
      <formula>150</formula>
    </cfRule>
    <cfRule type="cellIs" dxfId="47" priority="13" operator="greaterThan">
      <formula>750</formula>
    </cfRule>
  </conditionalFormatting>
  <conditionalFormatting sqref="D67">
    <cfRule type="cellIs" dxfId="46" priority="16" operator="greaterThan">
      <formula>10</formula>
    </cfRule>
  </conditionalFormatting>
  <conditionalFormatting sqref="D68">
    <cfRule type="cellIs" dxfId="45" priority="15" operator="greaterThan">
      <formula>30</formula>
    </cfRule>
  </conditionalFormatting>
  <conditionalFormatting sqref="D65">
    <cfRule type="cellIs" dxfId="44" priority="14" operator="lessThan">
      <formula>5</formula>
    </cfRule>
  </conditionalFormatting>
  <conditionalFormatting sqref="F67">
    <cfRule type="cellIs" dxfId="43" priority="11" operator="greaterThan">
      <formula>10</formula>
    </cfRule>
  </conditionalFormatting>
  <conditionalFormatting sqref="F65">
    <cfRule type="cellIs" dxfId="42" priority="10" operator="lessThan">
      <formula>5</formula>
    </cfRule>
  </conditionalFormatting>
  <conditionalFormatting sqref="F63">
    <cfRule type="cellIs" dxfId="41" priority="8" operator="lessThan">
      <formula>150</formula>
    </cfRule>
    <cfRule type="cellIs" dxfId="40" priority="9" operator="greaterThan">
      <formula>750</formula>
    </cfRule>
  </conditionalFormatting>
  <conditionalFormatting sqref="B42:C42">
    <cfRule type="cellIs" dxfId="39" priority="6" operator="lessThan">
      <formula>1</formula>
    </cfRule>
  </conditionalFormatting>
  <conditionalFormatting sqref="D42:E42">
    <cfRule type="cellIs" dxfId="38" priority="5" operator="lessThan">
      <formula>1</formula>
    </cfRule>
  </conditionalFormatting>
  <conditionalFormatting sqref="F42:G42">
    <cfRule type="cellIs" dxfId="37" priority="4" operator="lessThan">
      <formula>10</formula>
    </cfRule>
  </conditionalFormatting>
  <conditionalFormatting sqref="B43:G43">
    <cfRule type="cellIs" dxfId="36" priority="2" operator="lessThan">
      <formula>150</formula>
    </cfRule>
    <cfRule type="cellIs" dxfId="35" priority="3" operator="greaterThan">
      <formula>750</formula>
    </cfRule>
  </conditionalFormatting>
  <dataValidations count="2">
    <dataValidation type="list" allowBlank="1" showInputMessage="1" showErrorMessage="1" sqref="B12 D12 F12">
      <formula1>Selections</formula1>
    </dataValidation>
    <dataValidation type="list" allowBlank="1" showInputMessage="1" showErrorMessage="1" sqref="B15 D15 D10 F10 F15">
      <formula1>YesNo</formula1>
    </dataValidation>
  </dataValidations>
  <pageMargins left="0.7" right="0.7" top="0.75" bottom="0.75" header="0.3" footer="0.3"/>
  <pageSetup scale="27" orientation="portrait" horizontalDpi="4294967292" verticalDpi="4294967292" r:id="rId1"/>
  <headerFooter>
    <oddHeader>&amp;C&amp;F
Last Edit: xx-04-2017</oddHeader>
    <oddFooter>&amp;R&amp;P of&amp;N
&amp;D &amp;T
&amp;F &amp;A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6"/>
  <sheetViews>
    <sheetView zoomScale="55" zoomScaleNormal="55" zoomScaleSheetLayoutView="40" zoomScalePageLayoutView="25" workbookViewId="0">
      <selection activeCell="Q9" sqref="Q9"/>
    </sheetView>
  </sheetViews>
  <sheetFormatPr defaultColWidth="8.85546875" defaultRowHeight="15"/>
  <cols>
    <col min="1" max="1" width="78.42578125" style="72" customWidth="1"/>
    <col min="2" max="13" width="22.140625" style="72" customWidth="1"/>
    <col min="14" max="16384" width="8.85546875" style="72"/>
  </cols>
  <sheetData>
    <row r="1" spans="1:14" s="6" customFormat="1" ht="41.25" customHeight="1" thickBot="1">
      <c r="A1" s="155" t="s">
        <v>91</v>
      </c>
      <c r="B1" s="213"/>
      <c r="C1" s="214"/>
    </row>
    <row r="2" spans="1:14" s="6" customFormat="1" ht="41.25" customHeight="1" thickBot="1"/>
    <row r="3" spans="1:14" s="71" customFormat="1" ht="86.25" customHeight="1" thickBot="1">
      <c r="A3" s="341" t="s">
        <v>25</v>
      </c>
      <c r="B3" s="342"/>
      <c r="C3" s="342"/>
      <c r="D3" s="342"/>
      <c r="E3" s="342"/>
      <c r="F3" s="342"/>
      <c r="G3" s="342"/>
      <c r="H3" s="342"/>
      <c r="I3" s="342"/>
      <c r="J3" s="342"/>
      <c r="K3" s="342"/>
      <c r="L3" s="342"/>
      <c r="M3" s="343"/>
    </row>
    <row r="4" spans="1:14" s="71" customFormat="1" ht="27" customHeight="1">
      <c r="A4" s="332" t="s">
        <v>0</v>
      </c>
      <c r="B4" s="333"/>
      <c r="C4" s="333"/>
      <c r="D4" s="333"/>
      <c r="E4" s="333"/>
      <c r="F4" s="333"/>
      <c r="G4" s="333"/>
      <c r="H4" s="333"/>
      <c r="I4" s="333"/>
      <c r="J4" s="333"/>
      <c r="K4" s="333"/>
      <c r="L4" s="333"/>
      <c r="M4" s="334"/>
    </row>
    <row r="5" spans="1:14" s="71" customFormat="1" ht="27" customHeight="1">
      <c r="A5" s="329" t="s">
        <v>9</v>
      </c>
      <c r="B5" s="330"/>
      <c r="C5" s="330"/>
      <c r="D5" s="330"/>
      <c r="E5" s="330"/>
      <c r="F5" s="330"/>
      <c r="G5" s="330"/>
      <c r="H5" s="330"/>
      <c r="I5" s="330"/>
      <c r="J5" s="330"/>
      <c r="K5" s="330"/>
      <c r="L5" s="330"/>
      <c r="M5" s="331"/>
    </row>
    <row r="6" spans="1:14" ht="27" customHeight="1" thickBot="1">
      <c r="A6" s="297" t="s">
        <v>139</v>
      </c>
      <c r="B6" s="298"/>
      <c r="C6" s="298"/>
      <c r="D6" s="298"/>
      <c r="E6" s="298"/>
      <c r="F6" s="298"/>
      <c r="G6" s="298"/>
      <c r="H6" s="298"/>
      <c r="I6" s="298"/>
      <c r="J6" s="298"/>
      <c r="K6" s="298"/>
      <c r="L6" s="298"/>
      <c r="M6" s="299"/>
    </row>
    <row r="7" spans="1:14" s="71" customFormat="1" ht="57" customHeight="1" thickBot="1">
      <c r="A7" s="73"/>
      <c r="B7" s="335" t="s">
        <v>137</v>
      </c>
      <c r="C7" s="336"/>
      <c r="D7" s="335" t="s">
        <v>135</v>
      </c>
      <c r="E7" s="337"/>
      <c r="F7" s="335" t="s">
        <v>136</v>
      </c>
      <c r="G7" s="336"/>
      <c r="H7" s="338" t="s">
        <v>122</v>
      </c>
      <c r="I7" s="339"/>
      <c r="J7" s="340" t="s">
        <v>134</v>
      </c>
      <c r="K7" s="340"/>
      <c r="L7" s="338" t="s">
        <v>124</v>
      </c>
      <c r="M7" s="339"/>
      <c r="N7" s="181"/>
    </row>
    <row r="8" spans="1:14" ht="27" customHeight="1" thickTop="1">
      <c r="A8" s="74" t="s">
        <v>32</v>
      </c>
      <c r="B8" s="367">
        <v>35</v>
      </c>
      <c r="C8" s="368"/>
      <c r="D8" s="367">
        <v>35</v>
      </c>
      <c r="E8" s="369"/>
      <c r="F8" s="367">
        <v>35</v>
      </c>
      <c r="G8" s="368"/>
      <c r="H8" s="367">
        <v>35</v>
      </c>
      <c r="I8" s="368"/>
      <c r="J8" s="370">
        <v>35</v>
      </c>
      <c r="K8" s="369"/>
      <c r="L8" s="367">
        <v>35</v>
      </c>
      <c r="M8" s="368"/>
    </row>
    <row r="9" spans="1:14" ht="27" customHeight="1">
      <c r="A9" s="74"/>
      <c r="B9" s="75" t="s">
        <v>4</v>
      </c>
      <c r="C9" s="76" t="s">
        <v>6</v>
      </c>
      <c r="D9" s="75" t="s">
        <v>4</v>
      </c>
      <c r="E9" s="77" t="s">
        <v>6</v>
      </c>
      <c r="F9" s="75" t="s">
        <v>4</v>
      </c>
      <c r="G9" s="76" t="s">
        <v>6</v>
      </c>
      <c r="H9" s="75" t="s">
        <v>4</v>
      </c>
      <c r="I9" s="76" t="s">
        <v>6</v>
      </c>
      <c r="J9" s="77" t="s">
        <v>4</v>
      </c>
      <c r="K9" s="77" t="s">
        <v>6</v>
      </c>
      <c r="L9" s="75" t="s">
        <v>4</v>
      </c>
      <c r="M9" s="76" t="s">
        <v>6</v>
      </c>
    </row>
    <row r="10" spans="1:14" ht="27" customHeight="1">
      <c r="A10" s="74" t="s">
        <v>23</v>
      </c>
      <c r="B10" s="78">
        <v>207</v>
      </c>
      <c r="C10" s="79" t="s">
        <v>145</v>
      </c>
      <c r="D10" s="78">
        <v>108</v>
      </c>
      <c r="E10" s="80">
        <f>D10*D8</f>
        <v>3780</v>
      </c>
      <c r="F10" s="78">
        <v>108</v>
      </c>
      <c r="G10" s="79">
        <f>F10*F8</f>
        <v>3780</v>
      </c>
      <c r="H10" s="78">
        <v>70</v>
      </c>
      <c r="I10" s="79">
        <f>H10*H8</f>
        <v>2450</v>
      </c>
      <c r="J10" s="81">
        <v>169</v>
      </c>
      <c r="K10" s="80">
        <f>J10*J8</f>
        <v>5915</v>
      </c>
      <c r="L10" s="78">
        <v>70</v>
      </c>
      <c r="M10" s="79">
        <f>L10*L8</f>
        <v>2450</v>
      </c>
    </row>
    <row r="11" spans="1:14" ht="27" customHeight="1" thickBot="1">
      <c r="A11" s="74" t="s">
        <v>21</v>
      </c>
      <c r="B11" s="82">
        <v>50</v>
      </c>
      <c r="C11" s="83">
        <f>B11*B8</f>
        <v>1750</v>
      </c>
      <c r="D11" s="82">
        <v>50</v>
      </c>
      <c r="E11" s="84">
        <f>D11*D8</f>
        <v>1750</v>
      </c>
      <c r="F11" s="82">
        <v>50</v>
      </c>
      <c r="G11" s="83">
        <f>F11*F8</f>
        <v>1750</v>
      </c>
      <c r="H11" s="82">
        <v>50</v>
      </c>
      <c r="I11" s="83">
        <f>H11*H8</f>
        <v>1750</v>
      </c>
      <c r="J11" s="85">
        <v>50</v>
      </c>
      <c r="K11" s="84">
        <f>J11*J8</f>
        <v>1750</v>
      </c>
      <c r="L11" s="82">
        <v>50</v>
      </c>
      <c r="M11" s="83">
        <f>L11*L8</f>
        <v>1750</v>
      </c>
    </row>
    <row r="12" spans="1:14" ht="27" customHeight="1" thickTop="1" thickBot="1">
      <c r="A12" s="86" t="s">
        <v>20</v>
      </c>
      <c r="B12" s="364">
        <f>SUM(C10:C11)*1.1/1000</f>
        <v>1.9250000000000003</v>
      </c>
      <c r="C12" s="365"/>
      <c r="D12" s="364">
        <f>SUM(E10:E11)*1.1/1000</f>
        <v>6.0830000000000011</v>
      </c>
      <c r="E12" s="366"/>
      <c r="F12" s="364">
        <f>SUM(G10:G11)*1.1/1000</f>
        <v>6.0830000000000011</v>
      </c>
      <c r="G12" s="365"/>
      <c r="H12" s="364">
        <f>SUM(I10:I11)*1.1/1000</f>
        <v>4.62</v>
      </c>
      <c r="I12" s="365"/>
      <c r="J12" s="366">
        <f>SUM(K10:K11)*1.1/1000</f>
        <v>8.4314999999999998</v>
      </c>
      <c r="K12" s="366"/>
      <c r="L12" s="364">
        <f>SUM(M10:M11)*1.1/1000</f>
        <v>4.62</v>
      </c>
      <c r="M12" s="365"/>
    </row>
    <row r="13" spans="1:14" ht="42" customHeight="1" thickBot="1">
      <c r="A13" s="87"/>
      <c r="B13" s="88"/>
      <c r="C13" s="88"/>
      <c r="D13" s="87"/>
      <c r="E13" s="88"/>
      <c r="F13" s="87"/>
      <c r="G13" s="88"/>
      <c r="H13" s="87"/>
      <c r="I13" s="88"/>
      <c r="J13" s="87"/>
      <c r="K13" s="88"/>
      <c r="L13" s="87"/>
      <c r="M13" s="87"/>
    </row>
    <row r="14" spans="1:14" ht="86.25" customHeight="1" thickBot="1">
      <c r="A14" s="246" t="s">
        <v>78</v>
      </c>
      <c r="B14" s="247"/>
      <c r="C14" s="247"/>
      <c r="D14" s="247"/>
      <c r="E14" s="247"/>
      <c r="F14" s="247"/>
      <c r="G14" s="247"/>
      <c r="H14" s="247"/>
      <c r="I14" s="247"/>
      <c r="J14" s="247"/>
      <c r="K14" s="247"/>
      <c r="L14" s="247"/>
      <c r="M14" s="248"/>
    </row>
    <row r="15" spans="1:14" ht="27" customHeight="1">
      <c r="A15" s="332" t="s">
        <v>0</v>
      </c>
      <c r="B15" s="333"/>
      <c r="C15" s="333"/>
      <c r="D15" s="333"/>
      <c r="E15" s="333"/>
      <c r="F15" s="333"/>
      <c r="G15" s="333"/>
      <c r="H15" s="333"/>
      <c r="I15" s="333"/>
      <c r="J15" s="333"/>
      <c r="K15" s="333"/>
      <c r="L15" s="333"/>
      <c r="M15" s="334"/>
    </row>
    <row r="16" spans="1:14" ht="27" customHeight="1">
      <c r="A16" s="329" t="s">
        <v>35</v>
      </c>
      <c r="B16" s="330"/>
      <c r="C16" s="330"/>
      <c r="D16" s="330"/>
      <c r="E16" s="330"/>
      <c r="F16" s="330"/>
      <c r="G16" s="330"/>
      <c r="H16" s="330"/>
      <c r="I16" s="330"/>
      <c r="J16" s="330"/>
      <c r="K16" s="330"/>
      <c r="L16" s="330"/>
      <c r="M16" s="331"/>
    </row>
    <row r="17" spans="1:15" ht="27" customHeight="1" thickBot="1">
      <c r="A17" s="326" t="s">
        <v>138</v>
      </c>
      <c r="B17" s="327"/>
      <c r="C17" s="327"/>
      <c r="D17" s="327"/>
      <c r="E17" s="327"/>
      <c r="F17" s="327"/>
      <c r="G17" s="327"/>
      <c r="H17" s="327"/>
      <c r="I17" s="327"/>
      <c r="J17" s="327"/>
      <c r="K17" s="327"/>
      <c r="L17" s="327"/>
      <c r="M17" s="328"/>
    </row>
    <row r="18" spans="1:15" ht="57" customHeight="1" thickBot="1">
      <c r="A18" s="182"/>
      <c r="B18" s="335" t="s">
        <v>137</v>
      </c>
      <c r="C18" s="336"/>
      <c r="D18" s="335" t="s">
        <v>135</v>
      </c>
      <c r="E18" s="337"/>
      <c r="F18" s="335" t="s">
        <v>136</v>
      </c>
      <c r="G18" s="336"/>
      <c r="H18" s="338" t="s">
        <v>122</v>
      </c>
      <c r="I18" s="339"/>
      <c r="J18" s="340" t="s">
        <v>134</v>
      </c>
      <c r="K18" s="340"/>
      <c r="L18" s="338" t="s">
        <v>124</v>
      </c>
      <c r="M18" s="339"/>
    </row>
    <row r="19" spans="1:15" ht="27" customHeight="1" thickTop="1">
      <c r="A19" s="74" t="s">
        <v>52</v>
      </c>
      <c r="B19" s="352">
        <v>1000</v>
      </c>
      <c r="C19" s="353"/>
      <c r="D19" s="348">
        <v>100</v>
      </c>
      <c r="E19" s="349"/>
      <c r="F19" s="348">
        <v>25</v>
      </c>
      <c r="G19" s="349"/>
      <c r="H19" s="352">
        <v>50</v>
      </c>
      <c r="I19" s="353"/>
      <c r="J19" s="348">
        <v>25</v>
      </c>
      <c r="K19" s="349"/>
      <c r="L19" s="348">
        <v>1</v>
      </c>
      <c r="M19" s="349"/>
      <c r="N19" s="180"/>
    </row>
    <row r="20" spans="1:15" ht="27" customHeight="1">
      <c r="A20" s="74"/>
      <c r="B20" s="90"/>
      <c r="C20" s="91"/>
      <c r="D20" s="90"/>
      <c r="E20" s="91"/>
      <c r="F20" s="90"/>
      <c r="G20" s="91"/>
      <c r="H20" s="356"/>
      <c r="I20" s="357"/>
      <c r="J20" s="350" t="s">
        <v>33</v>
      </c>
      <c r="K20" s="351"/>
      <c r="L20" s="350" t="s">
        <v>33</v>
      </c>
      <c r="M20" s="351"/>
      <c r="O20" s="180"/>
    </row>
    <row r="21" spans="1:15" ht="27" customHeight="1">
      <c r="A21" s="19" t="s">
        <v>28</v>
      </c>
      <c r="B21" s="344">
        <f>IF(B19&gt;1000, "Out of Range", IF(B19&gt;499, 280, IF(B19&gt;250, 210, IF(B19&gt;99, 140,"Out of Range"))))</f>
        <v>280</v>
      </c>
      <c r="C21" s="345"/>
      <c r="D21" s="346">
        <f>IF(D19&gt;4000,"Out of Range",IF(D19&gt;2000,1400,IF(D19&gt;500,700,IF(D19&gt;250,350,IF(D19&gt;99,140,"Out of Range")))))</f>
        <v>140</v>
      </c>
      <c r="E21" s="347"/>
      <c r="F21" s="346">
        <f>IF(F19&gt;400,"Out of Range",IF(F19&gt;200,1400,IF(F19&gt;50,700,IF(F19&gt;9,350,"Out of Range"))))</f>
        <v>350</v>
      </c>
      <c r="G21" s="347"/>
      <c r="H21" s="346">
        <f>IF(H19&gt;1000,"Out of Range",IF(H19&gt;499,7,IF(H19&gt;49,1.5,"Out of Range")))</f>
        <v>1.5</v>
      </c>
      <c r="I21" s="347"/>
      <c r="J21" s="346">
        <f>IF(AND(J20="High Quality",J19&gt;499,J19&lt;1000),7, IF(J19&gt;1000,"Out of Range",IF(J19&gt;499,1.5,IF(J19&gt;24,1.5,"Out of Range"))))</f>
        <v>1.5</v>
      </c>
      <c r="K21" s="347"/>
      <c r="L21" s="346">
        <f>IF(AND(L20="High Quality",L19&gt;49),15,IF(L19&gt;100,"Out of Range",IF(L19&gt;49,1.5,IF(L19&gt;50,700,IF(L19&gt;0.99,1.5,"Out of Range")))))</f>
        <v>1.5</v>
      </c>
      <c r="M21" s="347"/>
    </row>
    <row r="22" spans="1:15" ht="27" customHeight="1">
      <c r="A22" s="19" t="s">
        <v>140</v>
      </c>
      <c r="B22" s="358" t="s">
        <v>141</v>
      </c>
      <c r="C22" s="359"/>
      <c r="D22" s="359"/>
      <c r="E22" s="359"/>
      <c r="F22" s="359"/>
      <c r="G22" s="360"/>
      <c r="H22" s="361" t="s">
        <v>142</v>
      </c>
      <c r="I22" s="362"/>
      <c r="J22" s="362"/>
      <c r="K22" s="362"/>
      <c r="L22" s="362"/>
      <c r="M22" s="363"/>
    </row>
    <row r="23" spans="1:15" ht="27" customHeight="1">
      <c r="A23" s="74" t="s">
        <v>31</v>
      </c>
      <c r="B23" s="354">
        <v>1.5</v>
      </c>
      <c r="C23" s="355"/>
      <c r="D23" s="354">
        <v>30</v>
      </c>
      <c r="E23" s="355"/>
      <c r="F23" s="354">
        <v>30</v>
      </c>
      <c r="G23" s="355"/>
      <c r="H23" s="354">
        <v>1.5</v>
      </c>
      <c r="I23" s="355"/>
      <c r="J23" s="354">
        <v>30</v>
      </c>
      <c r="K23" s="355"/>
      <c r="L23" s="354">
        <v>30</v>
      </c>
      <c r="M23" s="355"/>
    </row>
    <row r="24" spans="1:15" ht="27" customHeight="1" thickBot="1">
      <c r="A24" s="19" t="s">
        <v>29</v>
      </c>
      <c r="B24" s="318">
        <f>ROUNDDOWN(($B$23*1000)/B21,2)</f>
        <v>5.35</v>
      </c>
      <c r="C24" s="319"/>
      <c r="D24" s="318">
        <f>ROUNDDOWN(($D$23*1000)/D21,2)</f>
        <v>214.28</v>
      </c>
      <c r="E24" s="319"/>
      <c r="F24" s="318">
        <f>ROUNDDOWN(($F$23*1000)/F21,2)</f>
        <v>85.71</v>
      </c>
      <c r="G24" s="319"/>
      <c r="H24" s="318">
        <f>ROUNDDOWN(($H$23)/H21,2)</f>
        <v>1</v>
      </c>
      <c r="I24" s="319"/>
      <c r="J24" s="318">
        <f>ROUNDDOWN(($J$23)/J21,2)</f>
        <v>20</v>
      </c>
      <c r="K24" s="319"/>
      <c r="L24" s="318">
        <f>ROUNDDOWN(($L$23)/L21,2)</f>
        <v>20</v>
      </c>
      <c r="M24" s="319"/>
    </row>
    <row r="25" spans="1:15" ht="27" customHeight="1">
      <c r="A25" s="92" t="s">
        <v>30</v>
      </c>
      <c r="B25" s="316">
        <f>ROUNDDOWN((8*B24),0)</f>
        <v>42</v>
      </c>
      <c r="C25" s="317"/>
      <c r="D25" s="316">
        <f>ROUNDDOWN((8*D24),0)</f>
        <v>1714</v>
      </c>
      <c r="E25" s="317"/>
      <c r="F25" s="316">
        <f>ROUNDDOWN((8*F24),0)</f>
        <v>685</v>
      </c>
      <c r="G25" s="317"/>
      <c r="H25" s="316">
        <f>ROUNDDOWN((8*H24),0)</f>
        <v>8</v>
      </c>
      <c r="I25" s="317"/>
      <c r="J25" s="316">
        <f>ROUNDDOWN((8*J24),0)</f>
        <v>160</v>
      </c>
      <c r="K25" s="317"/>
      <c r="L25" s="316">
        <f>ROUNDDOWN((8*L24),0)</f>
        <v>160</v>
      </c>
      <c r="M25" s="317"/>
    </row>
    <row r="26" spans="1:15" ht="27" customHeight="1">
      <c r="A26" s="74" t="s">
        <v>61</v>
      </c>
      <c r="B26" s="322">
        <f>B25*24</f>
        <v>1008</v>
      </c>
      <c r="C26" s="323"/>
      <c r="D26" s="322">
        <f>D25*24</f>
        <v>41136</v>
      </c>
      <c r="E26" s="323"/>
      <c r="F26" s="322">
        <f>F25*24</f>
        <v>16440</v>
      </c>
      <c r="G26" s="323"/>
      <c r="H26" s="322">
        <f>H25*24</f>
        <v>192</v>
      </c>
      <c r="I26" s="323"/>
      <c r="J26" s="322">
        <f>J25*24</f>
        <v>3840</v>
      </c>
      <c r="K26" s="323"/>
      <c r="L26" s="322">
        <f>L25*24</f>
        <v>3840</v>
      </c>
      <c r="M26" s="323"/>
    </row>
    <row r="27" spans="1:15" ht="27" customHeight="1" thickBot="1">
      <c r="A27" s="86" t="s">
        <v>62</v>
      </c>
      <c r="B27" s="314">
        <f>B25*12</f>
        <v>504</v>
      </c>
      <c r="C27" s="315"/>
      <c r="D27" s="314">
        <f>D25*12</f>
        <v>20568</v>
      </c>
      <c r="E27" s="315"/>
      <c r="F27" s="314">
        <f>F25*12</f>
        <v>8220</v>
      </c>
      <c r="G27" s="315"/>
      <c r="H27" s="314">
        <f>H25*12</f>
        <v>96</v>
      </c>
      <c r="I27" s="315"/>
      <c r="J27" s="314">
        <f>J25*12</f>
        <v>1920</v>
      </c>
      <c r="K27" s="315"/>
      <c r="L27" s="314">
        <f>L25*12</f>
        <v>1920</v>
      </c>
      <c r="M27" s="315"/>
    </row>
    <row r="28" spans="1:15" ht="42" customHeight="1" thickBot="1"/>
    <row r="29" spans="1:15" ht="87" customHeight="1" thickBot="1">
      <c r="A29" s="246" t="s">
        <v>80</v>
      </c>
      <c r="B29" s="247"/>
      <c r="C29" s="247"/>
      <c r="D29" s="247"/>
      <c r="E29" s="247"/>
      <c r="F29" s="247"/>
      <c r="G29" s="247"/>
      <c r="H29" s="247"/>
      <c r="I29" s="247"/>
      <c r="J29" s="247"/>
      <c r="K29" s="247"/>
      <c r="L29" s="247"/>
      <c r="M29" s="248"/>
    </row>
    <row r="30" spans="1:15" ht="57" customHeight="1" thickBot="1">
      <c r="A30" s="89"/>
      <c r="B30" s="324" t="s">
        <v>119</v>
      </c>
      <c r="C30" s="325"/>
      <c r="D30" s="324" t="s">
        <v>120</v>
      </c>
      <c r="E30" s="325"/>
      <c r="F30" s="324" t="s">
        <v>121</v>
      </c>
      <c r="G30" s="325"/>
      <c r="H30" s="324" t="s">
        <v>122</v>
      </c>
      <c r="I30" s="325"/>
      <c r="J30" s="324" t="s">
        <v>123</v>
      </c>
      <c r="K30" s="325"/>
      <c r="L30" s="324" t="s">
        <v>124</v>
      </c>
      <c r="M30" s="325"/>
    </row>
    <row r="31" spans="1:15" ht="27" customHeight="1" thickTop="1">
      <c r="A31" s="93" t="s">
        <v>52</v>
      </c>
      <c r="B31" s="352">
        <v>500</v>
      </c>
      <c r="C31" s="353"/>
      <c r="D31" s="348">
        <v>500</v>
      </c>
      <c r="E31" s="349"/>
      <c r="F31" s="348">
        <v>25</v>
      </c>
      <c r="G31" s="349"/>
      <c r="H31" s="352">
        <v>500</v>
      </c>
      <c r="I31" s="353"/>
      <c r="J31" s="348">
        <v>25</v>
      </c>
      <c r="K31" s="349"/>
      <c r="L31" s="348">
        <v>1</v>
      </c>
      <c r="M31" s="349"/>
      <c r="N31" s="180"/>
    </row>
    <row r="32" spans="1:15" ht="27" customHeight="1">
      <c r="A32" s="93"/>
      <c r="B32" s="90"/>
      <c r="C32" s="91"/>
      <c r="D32" s="90"/>
      <c r="E32" s="91"/>
      <c r="F32" s="90"/>
      <c r="G32" s="91"/>
      <c r="H32" s="90"/>
      <c r="I32" s="91"/>
      <c r="J32" s="350" t="s">
        <v>33</v>
      </c>
      <c r="K32" s="351"/>
      <c r="L32" s="350" t="s">
        <v>33</v>
      </c>
      <c r="M32" s="351"/>
    </row>
    <row r="33" spans="1:13" ht="27" customHeight="1">
      <c r="A33" s="94" t="s">
        <v>28</v>
      </c>
      <c r="B33" s="344">
        <f>IF(B31&gt;1000, "Out of Range", IF(B31&gt;499, 280, IF(B31&gt;250, 210, IF(B31&gt;99, 140,"Out of Range"))))</f>
        <v>280</v>
      </c>
      <c r="C33" s="345"/>
      <c r="D33" s="346">
        <f>IF(D31&gt;4000,"Out of Range",IF(D31&gt;2000,1400,IF(D31&gt;500,700,IF(D31&gt;250,350,IF(D31&gt;99,140,"Out of Range")))))</f>
        <v>350</v>
      </c>
      <c r="E33" s="347"/>
      <c r="F33" s="346">
        <f>IF(F31&gt;400,"Out of Range",IF(F31&gt;200,1400,IF(F31&gt;50,700,IF(F31&gt;9,350,"Out of Range"))))</f>
        <v>350</v>
      </c>
      <c r="G33" s="347"/>
      <c r="H33" s="346">
        <f>IF(H31&gt;1000, "Out of Range", IF(H31&gt;499, 7, IF(H31&gt;250, 210, IF(H31&gt;50, 1.5,"Out of Range"))))</f>
        <v>7</v>
      </c>
      <c r="I33" s="347"/>
      <c r="J33" s="346" t="str">
        <f>IF(AND(J32="High Quality",J31&gt;499),7, IF(J31&gt;1000,"Out of Range",IF(J31&gt;499,1.5,IF(J31&gt;25,1.5,"Out of Range"))))</f>
        <v>Out of Range</v>
      </c>
      <c r="K33" s="347"/>
      <c r="L33" s="346">
        <f>IF(AND(L32="High Quality",L31&gt;49),15,IF(L31&gt;100,"Out of Range",IF(L31&gt;49,1.5,IF(L31&gt;50,700,IF(L31&gt;0.99,1.5,"Out of Range")))))</f>
        <v>1.5</v>
      </c>
      <c r="M33" s="347"/>
    </row>
    <row r="34" spans="1:13" ht="27" customHeight="1">
      <c r="A34" s="93" t="s">
        <v>79</v>
      </c>
      <c r="B34" s="320">
        <v>15</v>
      </c>
      <c r="C34" s="321"/>
      <c r="D34" s="320">
        <v>15</v>
      </c>
      <c r="E34" s="321"/>
      <c r="F34" s="320">
        <v>15</v>
      </c>
      <c r="G34" s="321"/>
      <c r="H34" s="320">
        <v>15</v>
      </c>
      <c r="I34" s="321"/>
      <c r="J34" s="320">
        <v>15</v>
      </c>
      <c r="K34" s="321"/>
      <c r="L34" s="320">
        <v>15</v>
      </c>
      <c r="M34" s="321"/>
    </row>
    <row r="35" spans="1:13" ht="27" customHeight="1" thickBot="1">
      <c r="A35" s="94" t="s">
        <v>29</v>
      </c>
      <c r="B35" s="318">
        <f>ROUNDDOWN(($B$34*1000)/B33,2)</f>
        <v>53.57</v>
      </c>
      <c r="C35" s="319"/>
      <c r="D35" s="318">
        <f>ROUNDDOWN(($D$34*1000)/D33,2)</f>
        <v>42.85</v>
      </c>
      <c r="E35" s="319"/>
      <c r="F35" s="318">
        <f>ROUNDDOWN(($F$34*1000)/F33,2)</f>
        <v>42.85</v>
      </c>
      <c r="G35" s="319"/>
      <c r="H35" s="318">
        <f>ROUNDDOWN(($H$34)/H33,2)</f>
        <v>2.14</v>
      </c>
      <c r="I35" s="319"/>
      <c r="J35" s="318" t="e">
        <f>ROUNDDOWN(($J$34)/J33,2)</f>
        <v>#VALUE!</v>
      </c>
      <c r="K35" s="319"/>
      <c r="L35" s="318">
        <f>ROUNDDOWN(($L$34)/L33,2)</f>
        <v>10</v>
      </c>
      <c r="M35" s="319"/>
    </row>
    <row r="36" spans="1:13" ht="27" customHeight="1">
      <c r="A36" s="95" t="s">
        <v>30</v>
      </c>
      <c r="B36" s="316">
        <f>ROUNDDOWN((4*B35),0)</f>
        <v>214</v>
      </c>
      <c r="C36" s="317"/>
      <c r="D36" s="316">
        <f>ROUNDDOWN((4*D35),0)</f>
        <v>171</v>
      </c>
      <c r="E36" s="317"/>
      <c r="F36" s="316">
        <f>ROUNDDOWN((4*F35),0)</f>
        <v>171</v>
      </c>
      <c r="G36" s="317"/>
      <c r="H36" s="316">
        <f>ROUNDDOWN((4*H35),0)</f>
        <v>8</v>
      </c>
      <c r="I36" s="317"/>
      <c r="J36" s="316" t="e">
        <f>ROUNDDOWN((4*J35),0)</f>
        <v>#VALUE!</v>
      </c>
      <c r="K36" s="317"/>
      <c r="L36" s="316">
        <f>ROUNDDOWN((4*L35),0)</f>
        <v>40</v>
      </c>
      <c r="M36" s="317"/>
    </row>
    <row r="37" spans="1:13" ht="27" customHeight="1" thickBot="1">
      <c r="A37" s="96" t="s">
        <v>85</v>
      </c>
      <c r="B37" s="314">
        <f>B36*96</f>
        <v>20544</v>
      </c>
      <c r="C37" s="315"/>
      <c r="D37" s="314">
        <f>D36*96</f>
        <v>16416</v>
      </c>
      <c r="E37" s="315"/>
      <c r="F37" s="314">
        <f>F36*96</f>
        <v>16416</v>
      </c>
      <c r="G37" s="315"/>
      <c r="H37" s="314">
        <f>H36*96</f>
        <v>768</v>
      </c>
      <c r="I37" s="315"/>
      <c r="J37" s="314" t="e">
        <f>J36*96</f>
        <v>#VALUE!</v>
      </c>
      <c r="K37" s="315"/>
      <c r="L37" s="314">
        <f>L36*96</f>
        <v>3840</v>
      </c>
      <c r="M37" s="315"/>
    </row>
    <row r="45" spans="1:13" ht="27" hidden="1" customHeight="1">
      <c r="I45" s="72" t="s">
        <v>33</v>
      </c>
    </row>
    <row r="46" spans="1:13" ht="27" hidden="1" customHeight="1">
      <c r="I46" s="72" t="s">
        <v>34</v>
      </c>
    </row>
  </sheetData>
  <sheetProtection password="DE76" sheet="1" objects="1" scenarios="1"/>
  <mergeCells count="125">
    <mergeCell ref="B22:G22"/>
    <mergeCell ref="H22:M22"/>
    <mergeCell ref="B7:C7"/>
    <mergeCell ref="D7:E7"/>
    <mergeCell ref="F7:G7"/>
    <mergeCell ref="H7:I7"/>
    <mergeCell ref="J7:K7"/>
    <mergeCell ref="L7:M7"/>
    <mergeCell ref="B12:C12"/>
    <mergeCell ref="D12:E12"/>
    <mergeCell ref="F12:G12"/>
    <mergeCell ref="H12:I12"/>
    <mergeCell ref="J12:K12"/>
    <mergeCell ref="L12:M12"/>
    <mergeCell ref="B8:C8"/>
    <mergeCell ref="D8:E8"/>
    <mergeCell ref="F8:G8"/>
    <mergeCell ref="H8:I8"/>
    <mergeCell ref="J8:K8"/>
    <mergeCell ref="L8:M8"/>
    <mergeCell ref="J20:K20"/>
    <mergeCell ref="L20:M20"/>
    <mergeCell ref="B21:C21"/>
    <mergeCell ref="D21:E21"/>
    <mergeCell ref="F21:G21"/>
    <mergeCell ref="H21:I21"/>
    <mergeCell ref="J21:K21"/>
    <mergeCell ref="L21:M21"/>
    <mergeCell ref="B19:C19"/>
    <mergeCell ref="D19:E19"/>
    <mergeCell ref="F19:G19"/>
    <mergeCell ref="H19:I19"/>
    <mergeCell ref="J19:K19"/>
    <mergeCell ref="L19:M19"/>
    <mergeCell ref="H20:I20"/>
    <mergeCell ref="B24:C24"/>
    <mergeCell ref="D24:E24"/>
    <mergeCell ref="F24:G24"/>
    <mergeCell ref="H24:I24"/>
    <mergeCell ref="J24:K24"/>
    <mergeCell ref="L24:M24"/>
    <mergeCell ref="B23:C23"/>
    <mergeCell ref="D23:E23"/>
    <mergeCell ref="F23:G23"/>
    <mergeCell ref="H23:I23"/>
    <mergeCell ref="J23:K23"/>
    <mergeCell ref="L23:M23"/>
    <mergeCell ref="A3:M3"/>
    <mergeCell ref="A14:M14"/>
    <mergeCell ref="A6:M6"/>
    <mergeCell ref="A5:M5"/>
    <mergeCell ref="A4:M4"/>
    <mergeCell ref="B33:C33"/>
    <mergeCell ref="D33:E33"/>
    <mergeCell ref="F33:G33"/>
    <mergeCell ref="H33:I33"/>
    <mergeCell ref="J33:K33"/>
    <mergeCell ref="L33:M33"/>
    <mergeCell ref="L31:M31"/>
    <mergeCell ref="J32:K32"/>
    <mergeCell ref="L32:M32"/>
    <mergeCell ref="B30:C30"/>
    <mergeCell ref="B31:C31"/>
    <mergeCell ref="D31:E31"/>
    <mergeCell ref="F31:G31"/>
    <mergeCell ref="H31:I31"/>
    <mergeCell ref="J31:K31"/>
    <mergeCell ref="B27:C27"/>
    <mergeCell ref="D27:E27"/>
    <mergeCell ref="F27:G27"/>
    <mergeCell ref="H27:I27"/>
    <mergeCell ref="A17:M17"/>
    <mergeCell ref="A16:M16"/>
    <mergeCell ref="A15:M15"/>
    <mergeCell ref="B18:C18"/>
    <mergeCell ref="D18:E18"/>
    <mergeCell ref="F18:G18"/>
    <mergeCell ref="H18:I18"/>
    <mergeCell ref="J18:K18"/>
    <mergeCell ref="L18:M18"/>
    <mergeCell ref="L34:M34"/>
    <mergeCell ref="A29:M29"/>
    <mergeCell ref="D30:E30"/>
    <mergeCell ref="F30:G30"/>
    <mergeCell ref="H30:I30"/>
    <mergeCell ref="J30:K30"/>
    <mergeCell ref="L30:M30"/>
    <mergeCell ref="J27:K27"/>
    <mergeCell ref="L27:M27"/>
    <mergeCell ref="L25:M25"/>
    <mergeCell ref="B26:C26"/>
    <mergeCell ref="D26:E26"/>
    <mergeCell ref="F26:G26"/>
    <mergeCell ref="H26:I26"/>
    <mergeCell ref="J26:K26"/>
    <mergeCell ref="L26:M26"/>
    <mergeCell ref="B25:C25"/>
    <mergeCell ref="D25:E25"/>
    <mergeCell ref="F25:G25"/>
    <mergeCell ref="H25:I25"/>
    <mergeCell ref="J25:K25"/>
    <mergeCell ref="B1:C1"/>
    <mergeCell ref="B37:C37"/>
    <mergeCell ref="D37:E37"/>
    <mergeCell ref="F37:G37"/>
    <mergeCell ref="H37:I37"/>
    <mergeCell ref="J37:K37"/>
    <mergeCell ref="L37:M37"/>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J34:K34"/>
  </mergeCells>
  <conditionalFormatting sqref="B19:C19">
    <cfRule type="cellIs" dxfId="34" priority="14" operator="lessThan">
      <formula>100</formula>
    </cfRule>
    <cfRule type="cellIs" dxfId="33" priority="15" operator="greaterThan">
      <formula>1000</formula>
    </cfRule>
  </conditionalFormatting>
  <conditionalFormatting sqref="B31:C31">
    <cfRule type="cellIs" dxfId="32" priority="12" operator="lessThan">
      <formula>100</formula>
    </cfRule>
    <cfRule type="cellIs" dxfId="31" priority="13" operator="greaterThan">
      <formula>1000</formula>
    </cfRule>
  </conditionalFormatting>
  <conditionalFormatting sqref="D19:E19 D31:E31">
    <cfRule type="cellIs" dxfId="30" priority="10" operator="lessThan">
      <formula>100</formula>
    </cfRule>
    <cfRule type="cellIs" dxfId="29" priority="11" operator="greaterThan">
      <formula>4000</formula>
    </cfRule>
  </conditionalFormatting>
  <conditionalFormatting sqref="F19:G19 F31:G31">
    <cfRule type="cellIs" dxfId="28" priority="8" operator="lessThan">
      <formula>10</formula>
    </cfRule>
    <cfRule type="cellIs" dxfId="27" priority="9" operator="greaterThan">
      <formula>400</formula>
    </cfRule>
  </conditionalFormatting>
  <conditionalFormatting sqref="H19:I19 H31:I31">
    <cfRule type="cellIs" dxfId="26" priority="6" operator="lessThan">
      <formula>50</formula>
    </cfRule>
    <cfRule type="cellIs" dxfId="25" priority="7" operator="greaterThan">
      <formula>1000</formula>
    </cfRule>
  </conditionalFormatting>
  <conditionalFormatting sqref="J19:K19 J31:K31">
    <cfRule type="cellIs" dxfId="24" priority="4" operator="lessThan">
      <formula>25</formula>
    </cfRule>
    <cfRule type="cellIs" dxfId="23" priority="5" operator="greaterThan">
      <formula>1000</formula>
    </cfRule>
  </conditionalFormatting>
  <conditionalFormatting sqref="L19:M19 L31:M31">
    <cfRule type="cellIs" dxfId="22" priority="2" operator="lessThan">
      <formula>1</formula>
    </cfRule>
    <cfRule type="cellIs" dxfId="21" priority="3" operator="greaterThan">
      <formula>100</formula>
    </cfRule>
  </conditionalFormatting>
  <conditionalFormatting sqref="B8:M8">
    <cfRule type="cellIs" dxfId="20" priority="1" operator="lessThan">
      <formula>1</formula>
    </cfRule>
  </conditionalFormatting>
  <dataValidations count="1">
    <dataValidation type="list" allowBlank="1" showInputMessage="1" showErrorMessage="1" sqref="J20:M20 J32:M32">
      <formula1>$I$45:$I$46</formula1>
    </dataValidation>
  </dataValidations>
  <pageMargins left="0.7" right="0.7" top="0.75" bottom="0.75" header="0.3" footer="0.3"/>
  <pageSetup scale="35" orientation="landscape" horizontalDpi="4294967292" verticalDpi="4294967292" r:id="rId1"/>
  <headerFooter>
    <oddHeader>&amp;C&amp;F
Last edit: xx-04-2017</oddHeader>
    <oddFooter>&amp;R&amp;P of&amp;N
&amp;D &amp;T
&amp;F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9"/>
  <sheetViews>
    <sheetView zoomScale="55" zoomScaleNormal="55" zoomScaleSheetLayoutView="25" zoomScalePageLayoutView="25" workbookViewId="0">
      <selection activeCell="A6" sqref="A6:I6"/>
    </sheetView>
  </sheetViews>
  <sheetFormatPr defaultColWidth="8.85546875" defaultRowHeight="15"/>
  <cols>
    <col min="1" max="1" width="69.28515625" style="72" customWidth="1"/>
    <col min="2" max="9" width="29.85546875" style="72" customWidth="1"/>
    <col min="10" max="10" width="39.42578125" style="72" customWidth="1"/>
    <col min="11" max="16384" width="8.85546875" style="72"/>
  </cols>
  <sheetData>
    <row r="1" spans="1:10" s="6" customFormat="1" ht="41.25" customHeight="1" thickBot="1">
      <c r="A1" s="155" t="s">
        <v>91</v>
      </c>
      <c r="B1" s="213"/>
      <c r="C1" s="214"/>
    </row>
    <row r="2" spans="1:10" s="6" customFormat="1" ht="41.25" customHeight="1" thickBot="1"/>
    <row r="3" spans="1:10" ht="87.75" customHeight="1" thickBot="1">
      <c r="A3" s="435" t="s">
        <v>147</v>
      </c>
      <c r="B3" s="436"/>
      <c r="C3" s="436"/>
      <c r="D3" s="436"/>
      <c r="E3" s="436"/>
      <c r="F3" s="436"/>
      <c r="G3" s="436"/>
      <c r="H3" s="436"/>
      <c r="I3" s="437"/>
    </row>
    <row r="4" spans="1:10" ht="27" customHeight="1">
      <c r="A4" s="447" t="s">
        <v>0</v>
      </c>
      <c r="B4" s="448"/>
      <c r="C4" s="448"/>
      <c r="D4" s="448"/>
      <c r="E4" s="448"/>
      <c r="F4" s="448"/>
      <c r="G4" s="448"/>
      <c r="H4" s="448"/>
      <c r="I4" s="449"/>
    </row>
    <row r="5" spans="1:10" ht="27" customHeight="1">
      <c r="A5" s="329" t="s">
        <v>9</v>
      </c>
      <c r="B5" s="330"/>
      <c r="C5" s="330"/>
      <c r="D5" s="330"/>
      <c r="E5" s="330"/>
      <c r="F5" s="330"/>
      <c r="G5" s="330"/>
      <c r="H5" s="330"/>
      <c r="I5" s="331"/>
    </row>
    <row r="6" spans="1:10" ht="27" customHeight="1">
      <c r="A6" s="329" t="s">
        <v>11</v>
      </c>
      <c r="B6" s="330"/>
      <c r="C6" s="330"/>
      <c r="D6" s="330"/>
      <c r="E6" s="330"/>
      <c r="F6" s="330"/>
      <c r="G6" s="330"/>
      <c r="H6" s="330"/>
      <c r="I6" s="331"/>
    </row>
    <row r="7" spans="1:10" ht="27" customHeight="1" thickBot="1">
      <c r="A7" s="326" t="s">
        <v>153</v>
      </c>
      <c r="B7" s="327"/>
      <c r="C7" s="327"/>
      <c r="D7" s="327"/>
      <c r="E7" s="327"/>
      <c r="F7" s="327"/>
      <c r="G7" s="327"/>
      <c r="H7" s="327"/>
      <c r="I7" s="328"/>
    </row>
    <row r="8" spans="1:10" s="71" customFormat="1" ht="58.5" customHeight="1">
      <c r="A8" s="97"/>
      <c r="B8" s="429" t="s">
        <v>148</v>
      </c>
      <c r="C8" s="430"/>
      <c r="D8" s="431" t="s">
        <v>149</v>
      </c>
      <c r="E8" s="432"/>
      <c r="F8" s="429" t="s">
        <v>150</v>
      </c>
      <c r="G8" s="430"/>
      <c r="H8" s="429" t="s">
        <v>151</v>
      </c>
      <c r="I8" s="430"/>
      <c r="J8" s="181"/>
    </row>
    <row r="9" spans="1:10" ht="27" customHeight="1">
      <c r="A9" s="5" t="s">
        <v>15</v>
      </c>
      <c r="B9" s="439">
        <v>65</v>
      </c>
      <c r="C9" s="440"/>
      <c r="D9" s="439">
        <v>65</v>
      </c>
      <c r="E9" s="440"/>
      <c r="F9" s="439">
        <v>65</v>
      </c>
      <c r="G9" s="440"/>
      <c r="H9" s="439">
        <v>65</v>
      </c>
      <c r="I9" s="440"/>
    </row>
    <row r="10" spans="1:10" ht="27" customHeight="1">
      <c r="A10" s="7" t="s">
        <v>16</v>
      </c>
      <c r="B10" s="445"/>
      <c r="C10" s="446"/>
      <c r="D10" s="439">
        <v>130</v>
      </c>
      <c r="E10" s="440"/>
      <c r="F10" s="445"/>
      <c r="G10" s="446"/>
      <c r="H10" s="439">
        <v>130</v>
      </c>
      <c r="I10" s="440"/>
    </row>
    <row r="11" spans="1:10" ht="27" customHeight="1">
      <c r="A11" s="7" t="s">
        <v>17</v>
      </c>
      <c r="B11" s="445"/>
      <c r="C11" s="446"/>
      <c r="D11" s="439" t="s">
        <v>13</v>
      </c>
      <c r="E11" s="440"/>
      <c r="F11" s="445"/>
      <c r="G11" s="446"/>
      <c r="H11" s="439" t="s">
        <v>10</v>
      </c>
      <c r="I11" s="440"/>
    </row>
    <row r="12" spans="1:10" ht="27" customHeight="1">
      <c r="A12" s="8" t="s">
        <v>14</v>
      </c>
      <c r="B12" s="445"/>
      <c r="C12" s="446"/>
      <c r="D12" s="439">
        <v>3</v>
      </c>
      <c r="E12" s="440"/>
      <c r="F12" s="445"/>
      <c r="G12" s="446"/>
      <c r="H12" s="439">
        <v>3</v>
      </c>
      <c r="I12" s="440"/>
    </row>
    <row r="13" spans="1:10" ht="27" customHeight="1">
      <c r="A13" s="206" t="s">
        <v>18</v>
      </c>
      <c r="B13" s="350" t="s">
        <v>3</v>
      </c>
      <c r="C13" s="351"/>
      <c r="D13" s="439" t="s">
        <v>3</v>
      </c>
      <c r="E13" s="440"/>
      <c r="F13" s="350" t="s">
        <v>8</v>
      </c>
      <c r="G13" s="351"/>
      <c r="H13" s="350" t="s">
        <v>8</v>
      </c>
      <c r="I13" s="351"/>
    </row>
    <row r="14" spans="1:10" ht="27" customHeight="1">
      <c r="A14" s="9" t="s">
        <v>1</v>
      </c>
      <c r="B14" s="441">
        <v>0.7</v>
      </c>
      <c r="C14" s="442"/>
      <c r="D14" s="441">
        <v>0.7</v>
      </c>
      <c r="E14" s="442"/>
      <c r="F14" s="441">
        <v>0.7</v>
      </c>
      <c r="G14" s="442"/>
      <c r="H14" s="441">
        <v>0.7</v>
      </c>
      <c r="I14" s="442"/>
    </row>
    <row r="15" spans="1:10" ht="27" customHeight="1">
      <c r="A15" s="10" t="s">
        <v>2</v>
      </c>
      <c r="B15" s="443">
        <v>0.9</v>
      </c>
      <c r="C15" s="444"/>
      <c r="D15" s="443">
        <v>0.9</v>
      </c>
      <c r="E15" s="444"/>
      <c r="F15" s="443">
        <v>0.9</v>
      </c>
      <c r="G15" s="444"/>
      <c r="H15" s="443">
        <v>0.9</v>
      </c>
      <c r="I15" s="444"/>
    </row>
    <row r="16" spans="1:10" ht="27" customHeight="1" thickBot="1">
      <c r="A16" s="98" t="s">
        <v>82</v>
      </c>
      <c r="B16" s="439" t="s">
        <v>10</v>
      </c>
      <c r="C16" s="440"/>
      <c r="D16" s="439" t="s">
        <v>10</v>
      </c>
      <c r="E16" s="440"/>
      <c r="F16" s="439" t="s">
        <v>10</v>
      </c>
      <c r="G16" s="440"/>
      <c r="H16" s="439" t="s">
        <v>10</v>
      </c>
      <c r="I16" s="440"/>
    </row>
    <row r="17" spans="1:10" ht="27" customHeight="1">
      <c r="A17" s="99" t="s">
        <v>81</v>
      </c>
      <c r="B17" s="439" t="s">
        <v>10</v>
      </c>
      <c r="C17" s="440"/>
      <c r="D17" s="439" t="s">
        <v>10</v>
      </c>
      <c r="E17" s="440"/>
      <c r="F17" s="439" t="s">
        <v>10</v>
      </c>
      <c r="G17" s="440"/>
      <c r="H17" s="439" t="s">
        <v>10</v>
      </c>
      <c r="I17" s="440"/>
    </row>
    <row r="18" spans="1:10" ht="40.5" customHeight="1" thickBot="1">
      <c r="A18" s="100"/>
      <c r="B18" s="101"/>
      <c r="C18" s="101"/>
      <c r="D18" s="102"/>
      <c r="E18" s="101"/>
      <c r="F18" s="102"/>
      <c r="G18" s="101"/>
      <c r="H18" s="103"/>
      <c r="I18" s="101"/>
    </row>
    <row r="19" spans="1:10" ht="57" customHeight="1" thickBot="1">
      <c r="A19" s="15"/>
      <c r="B19" s="16" t="s">
        <v>4</v>
      </c>
      <c r="C19" s="17" t="s">
        <v>6</v>
      </c>
      <c r="D19" s="16" t="s">
        <v>4</v>
      </c>
      <c r="E19" s="17" t="s">
        <v>6</v>
      </c>
      <c r="F19" s="16" t="s">
        <v>4</v>
      </c>
      <c r="G19" s="17" t="s">
        <v>6</v>
      </c>
      <c r="H19" s="16" t="s">
        <v>4</v>
      </c>
      <c r="I19" s="17" t="s">
        <v>6</v>
      </c>
    </row>
    <row r="20" spans="1:10" ht="27" customHeight="1" thickTop="1">
      <c r="A20" s="104" t="s">
        <v>23</v>
      </c>
      <c r="B20" s="105">
        <f>88</f>
        <v>88</v>
      </c>
      <c r="C20" s="106">
        <f>B20*B9</f>
        <v>5720</v>
      </c>
      <c r="D20" s="105">
        <f>88+IF(D11="yes",D10*D12,0)</f>
        <v>88</v>
      </c>
      <c r="E20" s="107">
        <f>D20*D9</f>
        <v>5720</v>
      </c>
      <c r="F20" s="105">
        <f>88</f>
        <v>88</v>
      </c>
      <c r="G20" s="106">
        <f>F20*F9</f>
        <v>5720</v>
      </c>
      <c r="H20" s="105">
        <f>88+IF(H11="yes",H10*H12,0)</f>
        <v>478</v>
      </c>
      <c r="I20" s="106">
        <f>H20*H9</f>
        <v>31070</v>
      </c>
    </row>
    <row r="21" spans="1:10" ht="27" customHeight="1">
      <c r="A21" s="108" t="s">
        <v>5</v>
      </c>
      <c r="B21" s="109">
        <f>IF(B13="not performed",0,IF(B13="Shearing",50*B14+50*(B15-B14),IF(B13="ligation",50*B14+50*(B15-B14),IF(B13="amplification",50*B14+50*(B15-B14),"Choose Size Selection - Cell F16"))))</f>
        <v>45</v>
      </c>
      <c r="C21" s="107">
        <f>B21*B9</f>
        <v>2925</v>
      </c>
      <c r="D21" s="109">
        <f>IF(D13=1,0,IF(D13="Shearing",D10*D14+D10*(D15-D14),IF(D13="ligation",50*D14+50*(D15-D14),IF(D13="amplification",50*D14+50*(D15-D14),"Choose Size Selection - Cell F16"))))</f>
        <v>45</v>
      </c>
      <c r="E21" s="107">
        <f>D21*D9</f>
        <v>2925</v>
      </c>
      <c r="F21" s="109">
        <v>45</v>
      </c>
      <c r="G21" s="107">
        <f>F21*F9</f>
        <v>2925</v>
      </c>
      <c r="H21" s="109">
        <v>45</v>
      </c>
      <c r="I21" s="107">
        <f>H21*H9</f>
        <v>2925</v>
      </c>
    </row>
    <row r="22" spans="1:10" ht="27" customHeight="1">
      <c r="A22" s="108" t="s">
        <v>22</v>
      </c>
      <c r="B22" s="109">
        <f>IF(B16="Yes",50,IF(B16="No",0,"Enter Amplifcation - Cell F27"))</f>
        <v>50</v>
      </c>
      <c r="C22" s="107">
        <f>B22*B9</f>
        <v>3250</v>
      </c>
      <c r="D22" s="109">
        <f>IF(D16="Yes",50,IF(D16="No",0,"Enter Amplifcation - Cell F27"))</f>
        <v>50</v>
      </c>
      <c r="E22" s="110">
        <f>D22*D9</f>
        <v>3250</v>
      </c>
      <c r="F22" s="109">
        <v>50</v>
      </c>
      <c r="G22" s="107">
        <f>F22*F9</f>
        <v>3250</v>
      </c>
      <c r="H22" s="109">
        <v>50</v>
      </c>
      <c r="I22" s="107">
        <f>H22*H9</f>
        <v>3250</v>
      </c>
    </row>
    <row r="23" spans="1:10" ht="27" customHeight="1">
      <c r="A23" s="108" t="s">
        <v>19</v>
      </c>
      <c r="B23" s="109">
        <v>0</v>
      </c>
      <c r="C23" s="107">
        <f>B23*B9</f>
        <v>0</v>
      </c>
      <c r="D23" s="109">
        <v>0</v>
      </c>
      <c r="E23" s="107">
        <f>D23*D9</f>
        <v>0</v>
      </c>
      <c r="F23" s="109">
        <v>0</v>
      </c>
      <c r="G23" s="107">
        <f>F23*F9</f>
        <v>0</v>
      </c>
      <c r="H23" s="109">
        <v>0</v>
      </c>
      <c r="I23" s="107">
        <f>H23*H9</f>
        <v>0</v>
      </c>
    </row>
    <row r="24" spans="1:10" ht="27" customHeight="1">
      <c r="A24" s="111" t="s">
        <v>24</v>
      </c>
      <c r="B24" s="112">
        <f>IF(B17="yes",180,0)</f>
        <v>180</v>
      </c>
      <c r="C24" s="113">
        <f>B24*B9</f>
        <v>11700</v>
      </c>
      <c r="D24" s="112">
        <f>IF(D17="yes",180,0)</f>
        <v>180</v>
      </c>
      <c r="E24" s="113">
        <f>D24*D9</f>
        <v>11700</v>
      </c>
      <c r="F24" s="112">
        <v>50</v>
      </c>
      <c r="G24" s="113">
        <f>F24*F9</f>
        <v>3250</v>
      </c>
      <c r="H24" s="112">
        <v>50</v>
      </c>
      <c r="I24" s="113">
        <f>H24*H9</f>
        <v>3250</v>
      </c>
    </row>
    <row r="25" spans="1:10" ht="27" customHeight="1" thickBot="1">
      <c r="A25" s="114" t="s">
        <v>20</v>
      </c>
      <c r="B25" s="424">
        <f>SUM(C20:C24)*1.1/1000</f>
        <v>25.954500000000003</v>
      </c>
      <c r="C25" s="425"/>
      <c r="D25" s="424">
        <f>SUM(E20:E22)*1.1/1000</f>
        <v>13.084500000000002</v>
      </c>
      <c r="E25" s="425"/>
      <c r="F25" s="424">
        <f>SUM(G20:G24)*1.1/1000</f>
        <v>16.659500000000001</v>
      </c>
      <c r="G25" s="425"/>
      <c r="H25" s="424">
        <f>SUM(I20:I24)*1.1/1000</f>
        <v>44.544499999999999</v>
      </c>
      <c r="I25" s="425"/>
    </row>
    <row r="26" spans="1:10" ht="40.5" customHeight="1" thickBot="1">
      <c r="A26" s="115"/>
      <c r="B26" s="116"/>
      <c r="C26" s="88"/>
      <c r="D26" s="117"/>
      <c r="E26" s="88"/>
      <c r="F26" s="117"/>
      <c r="G26" s="88"/>
      <c r="H26" s="88"/>
      <c r="I26" s="88"/>
      <c r="J26" s="118"/>
    </row>
    <row r="27" spans="1:10" ht="87.75" customHeight="1" thickBot="1">
      <c r="A27" s="435" t="s">
        <v>152</v>
      </c>
      <c r="B27" s="436"/>
      <c r="C27" s="436"/>
      <c r="D27" s="436"/>
      <c r="E27" s="436"/>
      <c r="F27" s="436"/>
      <c r="G27" s="436"/>
      <c r="H27" s="436"/>
      <c r="I27" s="437"/>
    </row>
    <row r="28" spans="1:10" s="119" customFormat="1" ht="27" customHeight="1">
      <c r="A28" s="426" t="s">
        <v>0</v>
      </c>
      <c r="B28" s="427"/>
      <c r="C28" s="427"/>
      <c r="D28" s="427"/>
      <c r="E28" s="427"/>
      <c r="F28" s="427"/>
      <c r="G28" s="427"/>
      <c r="H28" s="427"/>
      <c r="I28" s="428"/>
    </row>
    <row r="29" spans="1:10" s="119" customFormat="1" ht="27" customHeight="1">
      <c r="A29" s="329" t="s">
        <v>35</v>
      </c>
      <c r="B29" s="330"/>
      <c r="C29" s="330"/>
      <c r="D29" s="330"/>
      <c r="E29" s="330"/>
      <c r="F29" s="330"/>
      <c r="G29" s="330"/>
      <c r="H29" s="330"/>
      <c r="I29" s="331"/>
    </row>
    <row r="30" spans="1:10" s="119" customFormat="1" ht="27" customHeight="1" thickBot="1">
      <c r="A30" s="329" t="s">
        <v>36</v>
      </c>
      <c r="B30" s="330"/>
      <c r="C30" s="330"/>
      <c r="D30" s="330"/>
      <c r="E30" s="330"/>
      <c r="F30" s="330"/>
      <c r="G30" s="330"/>
      <c r="H30" s="330"/>
      <c r="I30" s="331"/>
    </row>
    <row r="31" spans="1:10" s="119" customFormat="1" ht="57" customHeight="1" thickBot="1">
      <c r="A31" s="120"/>
      <c r="B31" s="429" t="s">
        <v>148</v>
      </c>
      <c r="C31" s="430"/>
      <c r="D31" s="431" t="s">
        <v>149</v>
      </c>
      <c r="E31" s="432"/>
      <c r="F31" s="433" t="s">
        <v>58</v>
      </c>
      <c r="G31" s="433"/>
      <c r="H31" s="433"/>
      <c r="I31" s="434"/>
    </row>
    <row r="32" spans="1:10" s="119" customFormat="1" ht="27" customHeight="1" thickBot="1">
      <c r="A32" s="121"/>
      <c r="B32" s="122" t="s">
        <v>52</v>
      </c>
      <c r="C32" s="438" t="s">
        <v>53</v>
      </c>
      <c r="D32" s="438"/>
      <c r="E32" s="123" t="s">
        <v>51</v>
      </c>
      <c r="F32" s="406" t="s">
        <v>59</v>
      </c>
      <c r="G32" s="406"/>
      <c r="H32" s="406"/>
      <c r="I32" s="407"/>
    </row>
    <row r="33" spans="1:13" s="119" customFormat="1" ht="27" customHeight="1">
      <c r="A33" s="121"/>
      <c r="B33" s="124">
        <v>1000</v>
      </c>
      <c r="C33" s="396">
        <v>15</v>
      </c>
      <c r="D33" s="396"/>
      <c r="E33" s="125" t="s">
        <v>46</v>
      </c>
      <c r="F33" s="403" t="s">
        <v>60</v>
      </c>
      <c r="G33" s="404"/>
      <c r="H33" s="404"/>
      <c r="I33" s="405"/>
    </row>
    <row r="34" spans="1:13" s="119" customFormat="1" ht="27" customHeight="1">
      <c r="A34" s="121"/>
      <c r="B34" s="124">
        <v>500</v>
      </c>
      <c r="C34" s="396">
        <v>15</v>
      </c>
      <c r="D34" s="396"/>
      <c r="E34" s="125" t="s">
        <v>47</v>
      </c>
      <c r="F34" s="207"/>
      <c r="G34" s="126"/>
      <c r="H34" s="126"/>
      <c r="I34" s="208"/>
    </row>
    <row r="35" spans="1:13" s="119" customFormat="1" ht="27" customHeight="1">
      <c r="A35" s="121"/>
      <c r="B35" s="124">
        <v>250</v>
      </c>
      <c r="C35" s="396">
        <v>15</v>
      </c>
      <c r="D35" s="396"/>
      <c r="E35" s="125" t="s">
        <v>48</v>
      </c>
      <c r="F35" s="207"/>
      <c r="G35" s="126"/>
      <c r="H35" s="126"/>
      <c r="I35" s="208"/>
    </row>
    <row r="36" spans="1:13" s="119" customFormat="1" ht="27" customHeight="1">
      <c r="A36" s="121"/>
      <c r="B36" s="124">
        <v>100</v>
      </c>
      <c r="C36" s="396">
        <v>15</v>
      </c>
      <c r="D36" s="396"/>
      <c r="E36" s="127" t="s">
        <v>49</v>
      </c>
      <c r="F36" s="207"/>
      <c r="G36" s="126"/>
      <c r="H36" s="126"/>
      <c r="I36" s="208"/>
    </row>
    <row r="37" spans="1:13" s="119" customFormat="1" ht="27" customHeight="1">
      <c r="A37" s="121"/>
      <c r="B37" s="124">
        <v>50</v>
      </c>
      <c r="C37" s="396">
        <v>15</v>
      </c>
      <c r="D37" s="396"/>
      <c r="E37" s="127" t="s">
        <v>50</v>
      </c>
      <c r="F37" s="207"/>
      <c r="G37" s="126"/>
      <c r="H37" s="126"/>
      <c r="I37" s="208"/>
    </row>
    <row r="38" spans="1:13" s="119" customFormat="1" ht="27" customHeight="1">
      <c r="A38" s="121"/>
      <c r="B38" s="124">
        <v>25</v>
      </c>
      <c r="C38" s="396">
        <v>7.5</v>
      </c>
      <c r="D38" s="396"/>
      <c r="E38" s="127" t="s">
        <v>50</v>
      </c>
      <c r="F38" s="207"/>
      <c r="G38" s="126"/>
      <c r="H38" s="126"/>
      <c r="I38" s="208"/>
    </row>
    <row r="39" spans="1:13" s="119" customFormat="1" ht="27" customHeight="1">
      <c r="A39" s="121"/>
      <c r="B39" s="124">
        <v>10</v>
      </c>
      <c r="C39" s="396">
        <v>3</v>
      </c>
      <c r="D39" s="396"/>
      <c r="E39" s="127" t="s">
        <v>50</v>
      </c>
      <c r="F39" s="207"/>
      <c r="G39" s="126"/>
      <c r="H39" s="126"/>
      <c r="I39" s="208"/>
    </row>
    <row r="40" spans="1:13" s="128" customFormat="1" ht="27" customHeight="1">
      <c r="A40" s="121"/>
      <c r="B40" s="124">
        <v>5</v>
      </c>
      <c r="C40" s="396">
        <v>1.5</v>
      </c>
      <c r="D40" s="396"/>
      <c r="E40" s="127" t="s">
        <v>50</v>
      </c>
      <c r="F40" s="207"/>
      <c r="G40" s="126"/>
      <c r="H40" s="126"/>
      <c r="I40" s="208"/>
    </row>
    <row r="41" spans="1:13" s="128" customFormat="1" ht="27" customHeight="1">
      <c r="A41" s="121"/>
      <c r="B41" s="124">
        <v>2.5</v>
      </c>
      <c r="C41" s="396">
        <v>0.75</v>
      </c>
      <c r="D41" s="396"/>
      <c r="E41" s="127" t="s">
        <v>50</v>
      </c>
      <c r="F41" s="207"/>
      <c r="G41" s="126"/>
      <c r="H41" s="126"/>
      <c r="I41" s="208"/>
    </row>
    <row r="42" spans="1:13" s="128" customFormat="1" ht="27" customHeight="1" thickBot="1">
      <c r="A42" s="86"/>
      <c r="B42" s="129">
        <v>1</v>
      </c>
      <c r="C42" s="397">
        <v>0.3</v>
      </c>
      <c r="D42" s="397"/>
      <c r="E42" s="130" t="s">
        <v>50</v>
      </c>
      <c r="F42" s="131"/>
      <c r="G42" s="132"/>
      <c r="H42" s="132"/>
      <c r="I42" s="133"/>
    </row>
    <row r="43" spans="1:13" s="128" customFormat="1" ht="40.5" customHeight="1" thickBot="1">
      <c r="A43" s="134"/>
      <c r="B43" s="135"/>
      <c r="C43" s="135"/>
      <c r="D43" s="135"/>
      <c r="E43" s="136"/>
      <c r="F43" s="137"/>
      <c r="G43" s="137"/>
      <c r="H43" s="137"/>
      <c r="I43" s="137"/>
      <c r="J43" s="138"/>
    </row>
    <row r="44" spans="1:13" ht="86.25" customHeight="1" thickBot="1">
      <c r="A44" s="246" t="s">
        <v>87</v>
      </c>
      <c r="B44" s="247"/>
      <c r="C44" s="247"/>
      <c r="D44" s="247"/>
      <c r="E44" s="248"/>
      <c r="F44" s="139"/>
      <c r="G44" s="139"/>
      <c r="H44" s="139"/>
      <c r="I44" s="139"/>
      <c r="J44" s="139"/>
      <c r="K44" s="139"/>
      <c r="L44" s="139"/>
      <c r="M44" s="139"/>
    </row>
    <row r="45" spans="1:13" s="128" customFormat="1" ht="27" customHeight="1">
      <c r="A45" s="92" t="s">
        <v>27</v>
      </c>
      <c r="B45" s="393">
        <v>500</v>
      </c>
      <c r="C45" s="394"/>
      <c r="D45" s="394">
        <v>1000</v>
      </c>
      <c r="E45" s="398"/>
      <c r="F45" s="137"/>
      <c r="G45" s="137"/>
      <c r="H45" s="137"/>
      <c r="I45" s="137"/>
    </row>
    <row r="46" spans="1:13" s="119" customFormat="1" ht="27" customHeight="1">
      <c r="A46" s="140" t="s">
        <v>37</v>
      </c>
      <c r="B46" s="237">
        <v>300</v>
      </c>
      <c r="C46" s="399"/>
      <c r="D46" s="399">
        <v>220</v>
      </c>
      <c r="E46" s="238"/>
      <c r="F46" s="137"/>
      <c r="G46" s="137"/>
      <c r="H46" s="137"/>
      <c r="I46" s="137"/>
    </row>
    <row r="47" spans="1:13" s="119" customFormat="1" ht="27" customHeight="1">
      <c r="A47" s="141" t="s">
        <v>38</v>
      </c>
      <c r="B47" s="142">
        <f>(B45/660)*(1000/B46)</f>
        <v>2.5252525252525255</v>
      </c>
      <c r="C47" s="143" t="s">
        <v>39</v>
      </c>
      <c r="D47" s="144">
        <f>(D45/660)*(1000/D46)</f>
        <v>6.8870523415977969</v>
      </c>
      <c r="E47" s="145" t="s">
        <v>39</v>
      </c>
      <c r="F47" s="137"/>
      <c r="G47" s="137"/>
      <c r="H47" s="137"/>
      <c r="I47" s="137"/>
    </row>
    <row r="48" spans="1:13" s="119" customFormat="1" ht="27" customHeight="1">
      <c r="A48" s="19" t="s">
        <v>40</v>
      </c>
      <c r="B48" s="241">
        <v>20</v>
      </c>
      <c r="C48" s="395"/>
      <c r="D48" s="395">
        <v>10</v>
      </c>
      <c r="E48" s="242"/>
      <c r="F48" s="137"/>
      <c r="G48" s="137"/>
      <c r="H48" s="137"/>
      <c r="I48" s="137"/>
    </row>
    <row r="49" spans="1:13" s="119" customFormat="1" ht="27" customHeight="1">
      <c r="A49" s="141" t="s">
        <v>41</v>
      </c>
      <c r="B49" s="146">
        <f>B48*B47</f>
        <v>50.505050505050512</v>
      </c>
      <c r="C49" s="147" t="s">
        <v>39</v>
      </c>
      <c r="D49" s="148">
        <f>D48*D47</f>
        <v>68.870523415977971</v>
      </c>
      <c r="E49" s="149" t="s">
        <v>39</v>
      </c>
      <c r="F49" s="137"/>
      <c r="G49" s="137"/>
      <c r="H49" s="137"/>
      <c r="I49" s="137"/>
    </row>
    <row r="50" spans="1:13" s="119" customFormat="1" ht="27" customHeight="1">
      <c r="A50" s="74" t="s">
        <v>42</v>
      </c>
      <c r="B50" s="384">
        <f>5</f>
        <v>5</v>
      </c>
      <c r="C50" s="385"/>
      <c r="D50" s="385">
        <f>5</f>
        <v>5</v>
      </c>
      <c r="E50" s="386"/>
      <c r="F50" s="137"/>
      <c r="G50" s="137"/>
      <c r="H50" s="137"/>
      <c r="I50" s="137"/>
    </row>
    <row r="51" spans="1:13" s="119" customFormat="1" ht="27" customHeight="1">
      <c r="A51" s="19" t="s">
        <v>83</v>
      </c>
      <c r="B51" s="227">
        <f>ROUNDDOWN((B49/B50),1)</f>
        <v>10.1</v>
      </c>
      <c r="C51" s="418"/>
      <c r="D51" s="418">
        <f>ROUNDDOWN((D49/D50),1)</f>
        <v>13.7</v>
      </c>
      <c r="E51" s="228"/>
      <c r="F51" s="137"/>
      <c r="G51" s="137"/>
      <c r="H51" s="137"/>
      <c r="I51" s="137"/>
    </row>
    <row r="52" spans="1:13" ht="27" customHeight="1">
      <c r="A52" s="74" t="s">
        <v>31</v>
      </c>
      <c r="B52" s="419">
        <f>IF(B50&lt;=1.5,1.5,30)</f>
        <v>30</v>
      </c>
      <c r="C52" s="420"/>
      <c r="D52" s="419">
        <f>IF(D50&lt;=1.5,1.5,30)</f>
        <v>30</v>
      </c>
      <c r="E52" s="420"/>
      <c r="F52" s="150"/>
      <c r="G52" s="150"/>
      <c r="H52" s="150"/>
      <c r="I52" s="150"/>
    </row>
    <row r="53" spans="1:13" ht="27" customHeight="1" thickBot="1">
      <c r="A53" s="19" t="s">
        <v>43</v>
      </c>
      <c r="B53" s="421">
        <f>ROUNDUP((B52/B51),1)</f>
        <v>3</v>
      </c>
      <c r="C53" s="422"/>
      <c r="D53" s="422">
        <f>ROUNDUP((D52/D51),1)</f>
        <v>2.2000000000000002</v>
      </c>
      <c r="E53" s="423"/>
      <c r="F53" s="150"/>
      <c r="G53" s="150"/>
      <c r="H53" s="150"/>
      <c r="I53" s="150"/>
    </row>
    <row r="54" spans="1:13" ht="27" customHeight="1">
      <c r="A54" s="151" t="s">
        <v>30</v>
      </c>
      <c r="B54" s="409">
        <f>ROUNDDOWN((8*B52),0)*(5/B46)</f>
        <v>4</v>
      </c>
      <c r="C54" s="410"/>
      <c r="D54" s="410">
        <f>ROUNDDOWN((8*D52),0)*(5/D46)</f>
        <v>5.454545454545455</v>
      </c>
      <c r="E54" s="411"/>
      <c r="F54" s="150"/>
      <c r="G54" s="150"/>
      <c r="H54" s="150"/>
      <c r="I54" s="150"/>
    </row>
    <row r="55" spans="1:13" ht="27" customHeight="1">
      <c r="A55" s="152" t="s">
        <v>89</v>
      </c>
      <c r="B55" s="415">
        <f>B54*24</f>
        <v>96</v>
      </c>
      <c r="C55" s="416"/>
      <c r="D55" s="416">
        <f>D54*24</f>
        <v>130.90909090909093</v>
      </c>
      <c r="E55" s="417"/>
      <c r="F55" s="150"/>
      <c r="G55" s="150"/>
      <c r="H55" s="150"/>
      <c r="I55" s="150"/>
    </row>
    <row r="56" spans="1:13" ht="27" customHeight="1" thickBot="1">
      <c r="A56" s="153" t="s">
        <v>90</v>
      </c>
      <c r="B56" s="412">
        <f>B54*12</f>
        <v>48</v>
      </c>
      <c r="C56" s="413"/>
      <c r="D56" s="413">
        <f>D54*12</f>
        <v>65.454545454545467</v>
      </c>
      <c r="E56" s="414"/>
      <c r="F56" s="150"/>
      <c r="G56" s="150"/>
      <c r="H56" s="150"/>
      <c r="I56" s="150"/>
    </row>
    <row r="57" spans="1:13" ht="27" customHeight="1" thickBot="1">
      <c r="A57" s="400" t="s">
        <v>63</v>
      </c>
      <c r="B57" s="401"/>
      <c r="C57" s="401"/>
      <c r="D57" s="401"/>
      <c r="E57" s="402"/>
      <c r="F57" s="150"/>
      <c r="G57" s="150"/>
      <c r="H57" s="150"/>
      <c r="I57" s="150"/>
    </row>
    <row r="58" spans="1:13" ht="27" customHeight="1">
      <c r="A58" s="43" t="s">
        <v>64</v>
      </c>
      <c r="B58" s="269">
        <v>15</v>
      </c>
      <c r="C58" s="408"/>
      <c r="D58" s="408">
        <v>15</v>
      </c>
      <c r="E58" s="270"/>
      <c r="F58" s="150"/>
      <c r="G58" s="150"/>
      <c r="H58" s="150"/>
      <c r="I58" s="150"/>
    </row>
    <row r="59" spans="1:13" ht="27" customHeight="1">
      <c r="A59" s="31" t="s">
        <v>44</v>
      </c>
      <c r="B59" s="221">
        <f>B50</f>
        <v>5</v>
      </c>
      <c r="C59" s="373"/>
      <c r="D59" s="373">
        <f>D50</f>
        <v>5</v>
      </c>
      <c r="E59" s="222"/>
      <c r="F59" s="150"/>
      <c r="G59" s="150"/>
      <c r="H59" s="150"/>
      <c r="I59" s="150"/>
    </row>
    <row r="60" spans="1:13" ht="27" customHeight="1">
      <c r="A60" s="154" t="s">
        <v>45</v>
      </c>
      <c r="B60" s="215">
        <f>B58*B59</f>
        <v>75</v>
      </c>
      <c r="C60" s="374"/>
      <c r="D60" s="374">
        <f>D58*D59</f>
        <v>75</v>
      </c>
      <c r="E60" s="216"/>
      <c r="F60" s="150"/>
      <c r="G60" s="150"/>
      <c r="H60" s="150"/>
      <c r="I60" s="150"/>
    </row>
    <row r="61" spans="1:13" ht="27" customHeight="1" thickBot="1">
      <c r="A61" s="44" t="s">
        <v>65</v>
      </c>
      <c r="B61" s="217">
        <f>B60/B47</f>
        <v>29.699999999999996</v>
      </c>
      <c r="C61" s="371"/>
      <c r="D61" s="371">
        <f>D60/D47</f>
        <v>10.889999999999999</v>
      </c>
      <c r="E61" s="218"/>
      <c r="F61" s="150"/>
      <c r="G61" s="150"/>
      <c r="H61" s="150"/>
      <c r="I61" s="150"/>
    </row>
    <row r="62" spans="1:13" ht="40.5" customHeight="1" thickBot="1">
      <c r="F62" s="118"/>
    </row>
    <row r="63" spans="1:13" ht="86.25" customHeight="1" thickBot="1">
      <c r="A63" s="246" t="s">
        <v>88</v>
      </c>
      <c r="B63" s="247"/>
      <c r="C63" s="247"/>
      <c r="D63" s="247"/>
      <c r="E63" s="248"/>
      <c r="F63" s="139"/>
      <c r="G63" s="139"/>
      <c r="H63" s="139"/>
      <c r="I63" s="139"/>
      <c r="J63" s="139"/>
      <c r="K63" s="139"/>
      <c r="L63" s="139"/>
      <c r="M63" s="139"/>
    </row>
    <row r="64" spans="1:13" s="128" customFormat="1" ht="27" customHeight="1">
      <c r="A64" s="92" t="s">
        <v>27</v>
      </c>
      <c r="B64" s="393">
        <v>500</v>
      </c>
      <c r="C64" s="394"/>
      <c r="D64" s="394">
        <v>50</v>
      </c>
      <c r="E64" s="398"/>
      <c r="F64" s="137"/>
      <c r="G64" s="137"/>
      <c r="H64" s="137"/>
      <c r="I64" s="137"/>
    </row>
    <row r="65" spans="1:9" s="119" customFormat="1" ht="27" customHeight="1">
      <c r="A65" s="140" t="s">
        <v>37</v>
      </c>
      <c r="B65" s="237">
        <v>350</v>
      </c>
      <c r="C65" s="399"/>
      <c r="D65" s="399">
        <v>200</v>
      </c>
      <c r="E65" s="238"/>
      <c r="F65" s="137"/>
      <c r="G65" s="137"/>
      <c r="H65" s="137"/>
      <c r="I65" s="137"/>
    </row>
    <row r="66" spans="1:9" s="119" customFormat="1" ht="27" customHeight="1">
      <c r="A66" s="141" t="s">
        <v>38</v>
      </c>
      <c r="B66" s="142">
        <f>(B64/660)*(1000/B65)</f>
        <v>2.1645021645021645</v>
      </c>
      <c r="C66" s="143" t="s">
        <v>39</v>
      </c>
      <c r="D66" s="144">
        <f>(D64/660)*(1000/D65)</f>
        <v>0.37878787878787878</v>
      </c>
      <c r="E66" s="145" t="s">
        <v>39</v>
      </c>
      <c r="F66" s="137"/>
      <c r="G66" s="137"/>
      <c r="H66" s="137"/>
      <c r="I66" s="137"/>
    </row>
    <row r="67" spans="1:9" s="119" customFormat="1" ht="27" customHeight="1">
      <c r="A67" s="19" t="s">
        <v>40</v>
      </c>
      <c r="B67" s="241">
        <v>40</v>
      </c>
      <c r="C67" s="395"/>
      <c r="D67" s="395">
        <v>200</v>
      </c>
      <c r="E67" s="242"/>
      <c r="F67" s="137"/>
      <c r="G67" s="137"/>
      <c r="H67" s="137"/>
      <c r="I67" s="137"/>
    </row>
    <row r="68" spans="1:9" s="119" customFormat="1" ht="27" customHeight="1">
      <c r="A68" s="141" t="s">
        <v>41</v>
      </c>
      <c r="B68" s="146">
        <f>B67*B66</f>
        <v>86.580086580086572</v>
      </c>
      <c r="C68" s="147" t="s">
        <v>39</v>
      </c>
      <c r="D68" s="148">
        <f>D67*D66</f>
        <v>75.757575757575751</v>
      </c>
      <c r="E68" s="149" t="s">
        <v>39</v>
      </c>
      <c r="F68" s="137"/>
      <c r="G68" s="137"/>
      <c r="H68" s="137"/>
      <c r="I68" s="137"/>
    </row>
    <row r="69" spans="1:9" s="119" customFormat="1" ht="27" customHeight="1">
      <c r="A69" s="74" t="s">
        <v>42</v>
      </c>
      <c r="B69" s="384">
        <f>5</f>
        <v>5</v>
      </c>
      <c r="C69" s="385"/>
      <c r="D69" s="385">
        <f>5</f>
        <v>5</v>
      </c>
      <c r="E69" s="386"/>
      <c r="F69" s="137"/>
      <c r="G69" s="137"/>
      <c r="H69" s="137"/>
      <c r="I69" s="137"/>
    </row>
    <row r="70" spans="1:9" s="119" customFormat="1" ht="27" customHeight="1">
      <c r="A70" s="19" t="s">
        <v>83</v>
      </c>
      <c r="B70" s="387">
        <f>ROUNDDOWN((B68/B69),1)</f>
        <v>17.3</v>
      </c>
      <c r="C70" s="388"/>
      <c r="D70" s="388">
        <f>ROUNDDOWN((D68/D69),1)</f>
        <v>15.1</v>
      </c>
      <c r="E70" s="389"/>
      <c r="F70" s="137"/>
      <c r="G70" s="137"/>
      <c r="H70" s="137"/>
      <c r="I70" s="137"/>
    </row>
    <row r="71" spans="1:9" ht="27" customHeight="1">
      <c r="A71" s="74" t="s">
        <v>79</v>
      </c>
      <c r="B71" s="390">
        <v>15</v>
      </c>
      <c r="C71" s="391"/>
      <c r="D71" s="391">
        <v>15</v>
      </c>
      <c r="E71" s="392"/>
      <c r="F71" s="150"/>
      <c r="G71" s="150"/>
      <c r="H71" s="150"/>
      <c r="I71" s="150"/>
    </row>
    <row r="72" spans="1:9" ht="27" customHeight="1" thickBot="1">
      <c r="A72" s="66" t="s">
        <v>43</v>
      </c>
      <c r="B72" s="375">
        <f>ROUNDUP((B71/B70),1)</f>
        <v>0.9</v>
      </c>
      <c r="C72" s="376"/>
      <c r="D72" s="376">
        <f>ROUNDUP((D71/D70),1)</f>
        <v>1</v>
      </c>
      <c r="E72" s="377"/>
      <c r="F72" s="150"/>
      <c r="G72" s="150"/>
      <c r="H72" s="150"/>
      <c r="I72" s="150"/>
    </row>
    <row r="73" spans="1:9" ht="27" customHeight="1">
      <c r="A73" s="74" t="s">
        <v>30</v>
      </c>
      <c r="B73" s="378">
        <f>ROUNDDOWN((4*B72),0)*(5/B69)</f>
        <v>3</v>
      </c>
      <c r="C73" s="379"/>
      <c r="D73" s="379">
        <f>ROUNDDOWN((4*D72),0)*(5/D69)</f>
        <v>4</v>
      </c>
      <c r="E73" s="380"/>
      <c r="F73" s="150"/>
      <c r="G73" s="150"/>
      <c r="H73" s="150"/>
      <c r="I73" s="150"/>
    </row>
    <row r="74" spans="1:9" ht="27" customHeight="1" thickBot="1">
      <c r="A74" s="74" t="s">
        <v>84</v>
      </c>
      <c r="B74" s="381">
        <f>B73*96</f>
        <v>288</v>
      </c>
      <c r="C74" s="382"/>
      <c r="D74" s="382">
        <f>D73*96</f>
        <v>384</v>
      </c>
      <c r="E74" s="383"/>
      <c r="F74" s="150"/>
      <c r="G74" s="150"/>
      <c r="H74" s="150"/>
      <c r="I74" s="150"/>
    </row>
    <row r="75" spans="1:9" ht="27" customHeight="1" thickBot="1">
      <c r="A75" s="300" t="s">
        <v>63</v>
      </c>
      <c r="B75" s="301"/>
      <c r="C75" s="301"/>
      <c r="D75" s="301"/>
      <c r="E75" s="302"/>
      <c r="F75" s="150"/>
      <c r="G75" s="150"/>
      <c r="H75" s="150"/>
      <c r="I75" s="150"/>
    </row>
    <row r="76" spans="1:9" ht="27" customHeight="1">
      <c r="A76" s="43" t="s">
        <v>64</v>
      </c>
      <c r="B76" s="219">
        <f>15</f>
        <v>15</v>
      </c>
      <c r="C76" s="372"/>
      <c r="D76" s="372">
        <f>15</f>
        <v>15</v>
      </c>
      <c r="E76" s="220"/>
      <c r="F76" s="150"/>
      <c r="G76" s="150"/>
      <c r="H76" s="150"/>
      <c r="I76" s="150"/>
    </row>
    <row r="77" spans="1:9" ht="27" customHeight="1">
      <c r="A77" s="31" t="s">
        <v>44</v>
      </c>
      <c r="B77" s="221">
        <f>B69</f>
        <v>5</v>
      </c>
      <c r="C77" s="373"/>
      <c r="D77" s="373">
        <f>D69</f>
        <v>5</v>
      </c>
      <c r="E77" s="222"/>
      <c r="F77" s="150"/>
      <c r="G77" s="150"/>
      <c r="H77" s="150"/>
      <c r="I77" s="150"/>
    </row>
    <row r="78" spans="1:9" ht="27" customHeight="1">
      <c r="A78" s="154" t="s">
        <v>45</v>
      </c>
      <c r="B78" s="215">
        <f>B76*B77</f>
        <v>75</v>
      </c>
      <c r="C78" s="374"/>
      <c r="D78" s="374">
        <f>D76*D77</f>
        <v>75</v>
      </c>
      <c r="E78" s="216"/>
      <c r="F78" s="150"/>
      <c r="G78" s="150"/>
      <c r="H78" s="150"/>
      <c r="I78" s="150"/>
    </row>
    <row r="79" spans="1:9" ht="27" customHeight="1" thickBot="1">
      <c r="A79" s="44" t="s">
        <v>65</v>
      </c>
      <c r="B79" s="217">
        <f>B78/B66</f>
        <v>34.65</v>
      </c>
      <c r="C79" s="371"/>
      <c r="D79" s="371">
        <f>D78/D66</f>
        <v>198</v>
      </c>
      <c r="E79" s="218"/>
      <c r="F79" s="150"/>
      <c r="G79" s="150"/>
      <c r="H79" s="150"/>
      <c r="I79" s="150"/>
    </row>
  </sheetData>
  <mergeCells count="128">
    <mergeCell ref="B8:C8"/>
    <mergeCell ref="D8:E8"/>
    <mergeCell ref="F8:G8"/>
    <mergeCell ref="H8:I8"/>
    <mergeCell ref="B9:C9"/>
    <mergeCell ref="D9:E9"/>
    <mergeCell ref="F9:G9"/>
    <mergeCell ref="H9:I9"/>
    <mergeCell ref="A3:I3"/>
    <mergeCell ref="A4:I4"/>
    <mergeCell ref="A5:I5"/>
    <mergeCell ref="A7:I7"/>
    <mergeCell ref="A6:I6"/>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C36:D36"/>
    <mergeCell ref="C37:D37"/>
    <mergeCell ref="B25:C25"/>
    <mergeCell ref="D25:E25"/>
    <mergeCell ref="F25:G25"/>
    <mergeCell ref="H25:I25"/>
    <mergeCell ref="A28:I28"/>
    <mergeCell ref="B31:C31"/>
    <mergeCell ref="D31:E31"/>
    <mergeCell ref="F31:I31"/>
    <mergeCell ref="A29:I29"/>
    <mergeCell ref="A27:I27"/>
    <mergeCell ref="A30:I30"/>
    <mergeCell ref="C32:D32"/>
    <mergeCell ref="C33:D33"/>
    <mergeCell ref="A57:E57"/>
    <mergeCell ref="F33:I33"/>
    <mergeCell ref="F32:I32"/>
    <mergeCell ref="B58:C58"/>
    <mergeCell ref="D58:E58"/>
    <mergeCell ref="B59:C59"/>
    <mergeCell ref="D59:E59"/>
    <mergeCell ref="B54:C54"/>
    <mergeCell ref="D54:E54"/>
    <mergeCell ref="B56:C56"/>
    <mergeCell ref="D56:E56"/>
    <mergeCell ref="B55:C55"/>
    <mergeCell ref="D55:E55"/>
    <mergeCell ref="B51:C51"/>
    <mergeCell ref="D51:E51"/>
    <mergeCell ref="B52:C52"/>
    <mergeCell ref="D52:E52"/>
    <mergeCell ref="B53:C53"/>
    <mergeCell ref="D53:E53"/>
    <mergeCell ref="B46:C46"/>
    <mergeCell ref="D46:E46"/>
    <mergeCell ref="B48:C48"/>
    <mergeCell ref="C34:D34"/>
    <mergeCell ref="C35:D35"/>
    <mergeCell ref="D64:E64"/>
    <mergeCell ref="B65:C65"/>
    <mergeCell ref="D65:E65"/>
    <mergeCell ref="B67:C67"/>
    <mergeCell ref="D67:E67"/>
    <mergeCell ref="B61:C61"/>
    <mergeCell ref="D61:E61"/>
    <mergeCell ref="B60:C60"/>
    <mergeCell ref="D60:E60"/>
    <mergeCell ref="D48:E48"/>
    <mergeCell ref="B50:C50"/>
    <mergeCell ref="D50:E50"/>
    <mergeCell ref="C38:D38"/>
    <mergeCell ref="C39:D39"/>
    <mergeCell ref="C40:D40"/>
    <mergeCell ref="C41:D41"/>
    <mergeCell ref="C42:D42"/>
    <mergeCell ref="B45:C45"/>
    <mergeCell ref="D45:E45"/>
    <mergeCell ref="A44:E44"/>
    <mergeCell ref="B79:C79"/>
    <mergeCell ref="D79:E79"/>
    <mergeCell ref="B1:C1"/>
    <mergeCell ref="A75:E75"/>
    <mergeCell ref="B76:C76"/>
    <mergeCell ref="D76:E76"/>
    <mergeCell ref="B77:C77"/>
    <mergeCell ref="D77:E77"/>
    <mergeCell ref="B78:C78"/>
    <mergeCell ref="D78:E78"/>
    <mergeCell ref="B72:C72"/>
    <mergeCell ref="D72:E72"/>
    <mergeCell ref="B73:C73"/>
    <mergeCell ref="D73:E73"/>
    <mergeCell ref="B74:C74"/>
    <mergeCell ref="D74:E74"/>
    <mergeCell ref="B69:C69"/>
    <mergeCell ref="D69:E69"/>
    <mergeCell ref="B70:C70"/>
    <mergeCell ref="D70:E70"/>
    <mergeCell ref="B71:C71"/>
    <mergeCell ref="D71:E71"/>
    <mergeCell ref="A63:E63"/>
    <mergeCell ref="B64:C64"/>
  </mergeCells>
  <conditionalFormatting sqref="D46">
    <cfRule type="cellIs" dxfId="19" priority="11" operator="lessThan">
      <formula>150</formula>
    </cfRule>
    <cfRule type="cellIs" dxfId="18" priority="12" operator="greaterThan">
      <formula>750</formula>
    </cfRule>
  </conditionalFormatting>
  <conditionalFormatting sqref="B46">
    <cfRule type="cellIs" dxfId="17" priority="16" operator="lessThan">
      <formula>150</formula>
    </cfRule>
    <cfRule type="cellIs" dxfId="16" priority="17" operator="greaterThan">
      <formula>750</formula>
    </cfRule>
  </conditionalFormatting>
  <conditionalFormatting sqref="B50">
    <cfRule type="cellIs" dxfId="15" priority="20" operator="greaterThan">
      <formula>10</formula>
    </cfRule>
  </conditionalFormatting>
  <conditionalFormatting sqref="B51">
    <cfRule type="cellIs" dxfId="14" priority="19" operator="greaterThan">
      <formula>30</formula>
    </cfRule>
  </conditionalFormatting>
  <conditionalFormatting sqref="B48">
    <cfRule type="cellIs" dxfId="13" priority="18" operator="lessThan">
      <formula>5</formula>
    </cfRule>
  </conditionalFormatting>
  <conditionalFormatting sqref="D50">
    <cfRule type="cellIs" dxfId="12" priority="15" operator="greaterThan">
      <formula>10</formula>
    </cfRule>
  </conditionalFormatting>
  <conditionalFormatting sqref="D51">
    <cfRule type="cellIs" dxfId="11" priority="14" operator="greaterThan">
      <formula>30</formula>
    </cfRule>
  </conditionalFormatting>
  <conditionalFormatting sqref="D48">
    <cfRule type="cellIs" dxfId="10" priority="13" operator="lessThan">
      <formula>5</formula>
    </cfRule>
  </conditionalFormatting>
  <conditionalFormatting sqref="D65">
    <cfRule type="cellIs" dxfId="9" priority="1" operator="lessThan">
      <formula>150</formula>
    </cfRule>
    <cfRule type="cellIs" dxfId="8" priority="2" operator="greaterThan">
      <formula>750</formula>
    </cfRule>
  </conditionalFormatting>
  <conditionalFormatting sqref="B65">
    <cfRule type="cellIs" dxfId="7" priority="6" operator="lessThan">
      <formula>150</formula>
    </cfRule>
    <cfRule type="cellIs" dxfId="6" priority="7" operator="greaterThan">
      <formula>750</formula>
    </cfRule>
  </conditionalFormatting>
  <conditionalFormatting sqref="B69">
    <cfRule type="cellIs" dxfId="5" priority="10" operator="greaterThan">
      <formula>10</formula>
    </cfRule>
  </conditionalFormatting>
  <conditionalFormatting sqref="B70">
    <cfRule type="cellIs" dxfId="4" priority="9" operator="greaterThan">
      <formula>30</formula>
    </cfRule>
  </conditionalFormatting>
  <conditionalFormatting sqref="B67">
    <cfRule type="cellIs" dxfId="3" priority="8" operator="lessThan">
      <formula>5</formula>
    </cfRule>
  </conditionalFormatting>
  <conditionalFormatting sqref="D69">
    <cfRule type="cellIs" dxfId="2" priority="5" operator="greaterThan">
      <formula>10</formula>
    </cfRule>
  </conditionalFormatting>
  <conditionalFormatting sqref="D70">
    <cfRule type="cellIs" dxfId="1" priority="4" operator="greaterThan">
      <formula>30</formula>
    </cfRule>
  </conditionalFormatting>
  <conditionalFormatting sqref="D67">
    <cfRule type="cellIs" dxfId="0" priority="3" operator="lessThan">
      <formula>5</formula>
    </cfRule>
  </conditionalFormatting>
  <dataValidations count="2">
    <dataValidation type="list" allowBlank="1" showInputMessage="1" showErrorMessage="1" sqref="D11 H11 B16:B17 D16:D17">
      <formula1>YesNo</formula1>
    </dataValidation>
    <dataValidation type="list" allowBlank="1" showInputMessage="1" showErrorMessage="1" sqref="B13 D13">
      <formula1>Selections</formula1>
    </dataValidation>
  </dataValidations>
  <pageMargins left="0.7" right="0.7" top="0.75" bottom="0.75" header="0.3" footer="0.3"/>
  <pageSetup scale="27" orientation="portrait" horizontalDpi="4294967292" verticalDpi="4294967292" r:id="rId1"/>
  <headerFooter>
    <oddHeader>&amp;C&amp;F
Last edit: xx-04-2017</oddHeader>
    <oddFooter>&amp;R&amp;P of&amp;N
&amp;D &amp;T
&amp;F &amp;A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D19" sqref="D19"/>
    </sheetView>
  </sheetViews>
  <sheetFormatPr defaultColWidth="8.85546875" defaultRowHeight="15"/>
  <sheetData>
    <row r="1" spans="1:1">
      <c r="A1" t="s">
        <v>12</v>
      </c>
    </row>
    <row r="2" spans="1:1">
      <c r="A2" t="s">
        <v>7</v>
      </c>
    </row>
    <row r="3" spans="1:1">
      <c r="A3" t="s">
        <v>8</v>
      </c>
    </row>
    <row r="4" spans="1:1">
      <c r="A4" t="s">
        <v>3</v>
      </c>
    </row>
    <row r="7" spans="1:1">
      <c r="A7" t="s">
        <v>10</v>
      </c>
    </row>
    <row r="8" spans="1:1">
      <c r="A8" t="s">
        <v>13</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Normal="100" zoomScalePageLayoutView="85" workbookViewId="0">
      <selection activeCell="F32" sqref="F32"/>
    </sheetView>
  </sheetViews>
  <sheetFormatPr defaultRowHeight="15"/>
  <cols>
    <col min="1" max="1" width="5.7109375" style="184" customWidth="1"/>
    <col min="2" max="2" width="11.42578125" style="185" customWidth="1"/>
    <col min="3" max="3" width="15.5703125" style="184" customWidth="1"/>
    <col min="4" max="5" width="16.7109375" style="184" customWidth="1"/>
    <col min="6" max="6" width="39.28515625" style="184" customWidth="1"/>
    <col min="7" max="7" width="16.85546875" style="184" customWidth="1"/>
    <col min="8" max="8" width="26.7109375" style="184" customWidth="1"/>
    <col min="9" max="9" width="5.7109375" style="184" customWidth="1"/>
    <col min="10" max="16384" width="9.140625" style="72"/>
  </cols>
  <sheetData>
    <row r="1" spans="2:9" ht="15.75" thickBot="1"/>
    <row r="2" spans="2:9">
      <c r="B2" s="450" t="s">
        <v>115</v>
      </c>
      <c r="C2" s="451"/>
      <c r="D2" s="451"/>
      <c r="E2" s="451"/>
      <c r="F2" s="451"/>
      <c r="G2" s="451"/>
      <c r="H2" s="452"/>
    </row>
    <row r="3" spans="2:9">
      <c r="B3" s="453"/>
      <c r="C3" s="454"/>
      <c r="D3" s="454"/>
      <c r="E3" s="454"/>
      <c r="F3" s="454"/>
      <c r="G3" s="454"/>
      <c r="H3" s="455"/>
    </row>
    <row r="4" spans="2:9" ht="15.75" thickBot="1">
      <c r="B4" s="456"/>
      <c r="C4" s="457"/>
      <c r="D4" s="457"/>
      <c r="E4" s="457"/>
      <c r="F4" s="457"/>
      <c r="G4" s="457"/>
      <c r="H4" s="458"/>
    </row>
    <row r="5" spans="2:9" ht="15.75" thickBot="1"/>
    <row r="6" spans="2:9" ht="15.75" thickBot="1">
      <c r="B6" s="209" t="s">
        <v>92</v>
      </c>
      <c r="C6" s="168" t="s">
        <v>93</v>
      </c>
      <c r="D6" s="168" t="s">
        <v>94</v>
      </c>
      <c r="E6" s="168" t="s">
        <v>95</v>
      </c>
      <c r="F6" s="169" t="s">
        <v>96</v>
      </c>
      <c r="G6" s="170"/>
      <c r="H6" s="171" t="s">
        <v>97</v>
      </c>
      <c r="I6" s="186"/>
    </row>
    <row r="7" spans="2:9" ht="33.75" customHeight="1" thickTop="1">
      <c r="B7" s="191">
        <v>1</v>
      </c>
      <c r="C7" s="187">
        <v>42856</v>
      </c>
      <c r="D7" s="188" t="s">
        <v>118</v>
      </c>
      <c r="E7" s="189" t="s">
        <v>143</v>
      </c>
      <c r="F7" s="461" t="s">
        <v>144</v>
      </c>
      <c r="G7" s="462"/>
      <c r="H7" s="190" t="s">
        <v>75</v>
      </c>
      <c r="I7" s="186"/>
    </row>
    <row r="8" spans="2:9">
      <c r="B8" s="191">
        <v>1.1000000000000001</v>
      </c>
      <c r="C8" s="187">
        <v>42867</v>
      </c>
      <c r="D8" s="188" t="s">
        <v>118</v>
      </c>
      <c r="E8" s="189" t="s">
        <v>143</v>
      </c>
      <c r="F8" s="463" t="s">
        <v>146</v>
      </c>
      <c r="G8" s="464"/>
      <c r="H8" s="190" t="s">
        <v>75</v>
      </c>
      <c r="I8" s="186"/>
    </row>
    <row r="9" spans="2:9">
      <c r="B9" s="191"/>
      <c r="C9" s="187"/>
      <c r="D9" s="188"/>
      <c r="E9" s="189"/>
      <c r="F9" s="463"/>
      <c r="G9" s="464"/>
      <c r="H9" s="192"/>
      <c r="I9" s="186"/>
    </row>
    <row r="10" spans="2:9">
      <c r="B10" s="191"/>
      <c r="C10" s="187"/>
      <c r="D10" s="188"/>
      <c r="E10" s="189"/>
      <c r="F10" s="463"/>
      <c r="G10" s="464"/>
      <c r="H10" s="190"/>
      <c r="I10" s="186"/>
    </row>
    <row r="11" spans="2:9">
      <c r="B11" s="191"/>
      <c r="C11" s="187"/>
      <c r="D11" s="188"/>
      <c r="E11" s="189"/>
      <c r="F11" s="463"/>
      <c r="G11" s="464"/>
      <c r="H11" s="192"/>
      <c r="I11" s="186"/>
    </row>
    <row r="12" spans="2:9">
      <c r="B12" s="191"/>
      <c r="C12" s="187"/>
      <c r="D12" s="188"/>
      <c r="E12" s="189"/>
      <c r="F12" s="463"/>
      <c r="G12" s="464"/>
      <c r="H12" s="192"/>
      <c r="I12" s="186"/>
    </row>
    <row r="13" spans="2:9" ht="15.75" thickBot="1">
      <c r="B13" s="193"/>
      <c r="C13" s="194"/>
      <c r="D13" s="195"/>
      <c r="E13" s="196"/>
      <c r="F13" s="459"/>
      <c r="G13" s="460"/>
      <c r="H13" s="197"/>
      <c r="I13" s="186"/>
    </row>
  </sheetData>
  <sheetProtection password="DE76" sheet="1" objects="1" scenarios="1"/>
  <mergeCells count="8">
    <mergeCell ref="B2:H4"/>
    <mergeCell ref="F13:G13"/>
    <mergeCell ref="F7:G7"/>
    <mergeCell ref="F8:G8"/>
    <mergeCell ref="F9:G9"/>
    <mergeCell ref="F10:G10"/>
    <mergeCell ref="F11:G11"/>
    <mergeCell ref="F12:G12"/>
  </mergeCells>
  <pageMargins left="0.7" right="0.7" top="0.75" bottom="0.75" header="0.3" footer="0.3"/>
  <pageSetup scale="60" orientation="portrait" r:id="rId1"/>
  <headerFooter>
    <oddHeader>&amp;C&amp;F
Last edit: xx-04-2017</oddHeader>
    <oddFooter>&amp;R&amp;P of&amp;N
&amp;D &amp;T
&amp;F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3"/>
  <sheetViews>
    <sheetView tabSelected="1" workbookViewId="0">
      <selection activeCell="K31" sqref="K31"/>
    </sheetView>
  </sheetViews>
  <sheetFormatPr defaultRowHeight="15"/>
  <sheetData>
    <row r="23" spans="2:2">
      <c r="B23"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DNA Library Prep</vt:lpstr>
      <vt:lpstr>RNA Library Prep</vt:lpstr>
      <vt:lpstr>Capture</vt:lpstr>
      <vt:lpstr>Variables-Do not edit</vt:lpstr>
      <vt:lpstr>Revision History</vt:lpstr>
      <vt:lpstr>Trademark</vt:lpstr>
      <vt:lpstr>Capture!Print_Area</vt:lpstr>
      <vt:lpstr>'DNA Library Prep'!Print_Area</vt:lpstr>
      <vt:lpstr>'RNA Library Prep'!Print_Area</vt:lpstr>
      <vt:lpstr>Selections</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Sogoloff</dc:creator>
  <cp:lastModifiedBy>Coombs, Michelle {DMSI~Pleasanton}</cp:lastModifiedBy>
  <cp:lastPrinted>2016-11-21T21:23:02Z</cp:lastPrinted>
  <dcterms:created xsi:type="dcterms:W3CDTF">2016-04-14T13:12:48Z</dcterms:created>
  <dcterms:modified xsi:type="dcterms:W3CDTF">2017-05-15T21:40:17Z</dcterms:modified>
</cp:coreProperties>
</file>